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3"/>
  </bookViews>
  <sheets>
    <sheet name="Додаток 1" sheetId="1" r:id="rId1"/>
    <sheet name="Додаток 2" sheetId="2" r:id="rId2"/>
    <sheet name="Додаток 3 " sheetId="3" r:id="rId3"/>
    <sheet name="Додаток 3.1" sheetId="4" r:id="rId4"/>
  </sheets>
  <definedNames>
    <definedName name="Z_7527418A_A66E_4095_9C86_7BCA8FE73660_.wvu.PrintArea" localSheetId="0" hidden="1">'Додаток 1'!$A$1:$E$31</definedName>
    <definedName name="Z_FDB12678_13E7_4737_AE1F_A133BBBA8508_.wvu.PrintArea" localSheetId="0" hidden="1">'Додаток 1'!$A$1:$E$31</definedName>
    <definedName name="_xlnm.Print_Area" localSheetId="0">'Додаток 1'!$A$1:$G$33</definedName>
    <definedName name="_2_Z_7527418A_A66E_4095_9C86_7BCA8FE73660_.wvu.PrintArea" localSheetId="1" hidden="1">'Додаток 2'!$A$1:$E$26</definedName>
    <definedName name="_2_Z_FDB12678_13E7_4737_AE1F_A133BBBA8508_.wvu.PrintArea" localSheetId="1" hidden="1">'Додаток 2'!$A$1:$E$26</definedName>
    <definedName name="_xlnm.Print_Area" localSheetId="1">'Додаток 2'!$A$1:$G$27</definedName>
    <definedName name="_3_Z_7527418A_A66E_4095_9C86_7BCA8FE73660_.wvu.PrintArea" localSheetId="2" hidden="1">'Додаток 3 '!$A$1:$H$21</definedName>
    <definedName name="Z_7527418A_A66E_4095_9C86_7BCA8FE73660_.wvu.PrintTitles" localSheetId="2" hidden="1">'Додаток 3 '!$5:$5</definedName>
    <definedName name="_3_Z_FDB12678_13E7_4737_AE1F_A133BBBA8508_.wvu.PrintArea" localSheetId="2" hidden="1">'Додаток 3 '!$A$1:$H$21</definedName>
    <definedName name="Z_FDB12678_13E7_4737_AE1F_A133BBBA8508_.wvu.PrintTitles" localSheetId="2" hidden="1">'Додаток 3 '!$5:$5</definedName>
    <definedName name="_xlnm.Print_Area" localSheetId="2">'Додаток 3 '!$A$1:$T$24</definedName>
    <definedName name="_xlnm.Print_Area" localSheetId="3">'Додаток 3.1'!$A$1:$T$19</definedName>
  </definedNames>
  <calcPr fullCalcOnLoad="1"/>
</workbook>
</file>

<file path=xl/sharedStrings.xml><?xml version="1.0" encoding="utf-8"?>
<sst xmlns="http://schemas.openxmlformats.org/spreadsheetml/2006/main" count="167" uniqueCount="92">
  <si>
    <t>Додаток 1</t>
  </si>
  <si>
    <t>Основні показники міського бюджету на 2021-2026 роки</t>
  </si>
  <si>
    <t>грн.</t>
  </si>
  <si>
    <t>Показник</t>
  </si>
  <si>
    <r>
      <t>2021 рік</t>
    </r>
    <r>
      <rPr>
        <sz val="14"/>
        <rFont val="Arial Cyr"/>
        <family val="2"/>
      </rPr>
      <t>¹</t>
    </r>
  </si>
  <si>
    <r>
      <t>2022 рік</t>
    </r>
    <r>
      <rPr>
        <sz val="14"/>
        <rFont val="Arial Cyr"/>
        <family val="2"/>
      </rPr>
      <t>¹</t>
    </r>
  </si>
  <si>
    <r>
      <t>2023 рік</t>
    </r>
    <r>
      <rPr>
        <sz val="14"/>
        <rFont val="Arial Cyr"/>
        <family val="2"/>
      </rPr>
      <t>²</t>
    </r>
  </si>
  <si>
    <r>
      <t>2024 рік</t>
    </r>
    <r>
      <rPr>
        <sz val="14"/>
        <rFont val="Arial Cyr"/>
        <family val="2"/>
      </rPr>
      <t>³</t>
    </r>
  </si>
  <si>
    <r>
      <t>2025 рік</t>
    </r>
    <r>
      <rPr>
        <vertAlign val="superscript"/>
        <sz val="14"/>
        <rFont val="Times New Roman"/>
        <family val="2"/>
      </rPr>
      <t>4</t>
    </r>
  </si>
  <si>
    <r>
      <t>2026 рік</t>
    </r>
    <r>
      <rPr>
        <vertAlign val="superscript"/>
        <sz val="14"/>
        <rFont val="Times New Roman"/>
        <family val="2"/>
      </rPr>
      <t>4</t>
    </r>
  </si>
  <si>
    <t>Загальний фонд</t>
  </si>
  <si>
    <t>Доходи (з трансфертами)</t>
  </si>
  <si>
    <t>Видатки (з трансфертами)</t>
  </si>
  <si>
    <t>Кредитування усього, у тому числі:</t>
  </si>
  <si>
    <t>- надання кредитів з бюджету</t>
  </si>
  <si>
    <t>- повернення кредитів з бюджету</t>
  </si>
  <si>
    <t>Фінансування (дефіцит "-"/ профіцит"+")</t>
  </si>
  <si>
    <t>Спеціальний фонд</t>
  </si>
  <si>
    <t>Разом</t>
  </si>
  <si>
    <t>¹- фактичні показники за 2021,2022 роки</t>
  </si>
  <si>
    <r>
      <rPr>
        <vertAlign val="superscript"/>
        <sz val="12"/>
        <rFont val="Times New Roman"/>
        <family val="2"/>
      </rPr>
      <t>2</t>
    </r>
    <r>
      <rPr>
        <sz val="12"/>
        <rFont val="Times New Roman"/>
        <family val="2"/>
      </rPr>
      <t>- показники, визначені в рішенні про місцевий бюджет на 2023 рік, з врахуванням внесених змін до нього на 01.12.2023 року</t>
    </r>
  </si>
  <si>
    <r>
      <rPr>
        <vertAlign val="superscript"/>
        <sz val="12"/>
        <rFont val="Times New Roman"/>
        <family val="2"/>
      </rPr>
      <t>3</t>
    </r>
    <r>
      <rPr>
        <sz val="12"/>
        <rFont val="Times New Roman"/>
        <family val="2"/>
      </rPr>
      <t>- показники, визначені в проекті рішення про місцевий бюджет на 2024 рік</t>
    </r>
  </si>
  <si>
    <r>
      <rPr>
        <vertAlign val="superscript"/>
        <sz val="12"/>
        <rFont val="Times New Roman"/>
        <family val="2"/>
      </rPr>
      <t>4</t>
    </r>
    <r>
      <rPr>
        <sz val="12"/>
        <rFont val="Times New Roman"/>
        <family val="2"/>
      </rPr>
      <t>- індикативні прогнозні показники місцевого бюджету на 2025-2026 роки</t>
    </r>
  </si>
  <si>
    <t>Начальник фінансового управління Алла Нерослик</t>
  </si>
  <si>
    <t>Менської міської ради</t>
  </si>
  <si>
    <t>Додаток 2</t>
  </si>
  <si>
    <t>Доходи міського бюджету на 2021-2026 роки (загальний та спеціальний фонди)</t>
  </si>
  <si>
    <t>Загальний обсяг доходів, усього у тому числі:</t>
  </si>
  <si>
    <t>міжбюджетні трансферти, усього з них:</t>
  </si>
  <si>
    <t>базова дотація</t>
  </si>
  <si>
    <t>дотації</t>
  </si>
  <si>
    <t>субвенції</t>
  </si>
  <si>
    <t>інші трансферти</t>
  </si>
  <si>
    <t>податкові надходження, усього з них:</t>
  </si>
  <si>
    <t>податок та збір на доходи фізичних осіб</t>
  </si>
  <si>
    <t>неподаткові надходження, усього з них:</t>
  </si>
  <si>
    <t>власні надходження бюджетних установ</t>
  </si>
  <si>
    <t>інші доходи</t>
  </si>
  <si>
    <t>всього надходжень (без трансфертів)</t>
  </si>
  <si>
    <r>
      <rPr>
        <vertAlign val="superscript"/>
        <sz val="12"/>
        <rFont val="Times New Roman"/>
        <family val="2"/>
      </rPr>
      <t>2</t>
    </r>
    <r>
      <rPr>
        <sz val="12"/>
        <rFont val="Times New Roman"/>
        <family val="2"/>
      </rPr>
      <t>- показники, визначені в рішенні про місцевий бюджет на 2023 рік, з врахуванням внесених змін до нього</t>
    </r>
  </si>
  <si>
    <t>Додаток 3</t>
  </si>
  <si>
    <t xml:space="preserve">Видатки міського бюджету за функціональною ознакоюю на 2021-2026 роки </t>
  </si>
  <si>
    <t>Код відомчої класифікації</t>
  </si>
  <si>
    <t>Найменування головного розпорядника коштів районного бюджету</t>
  </si>
  <si>
    <t>2022 рік¹</t>
  </si>
  <si>
    <t>2023 рік²</t>
  </si>
  <si>
    <t>2024 рік³</t>
  </si>
  <si>
    <r>
      <t>2025 рік</t>
    </r>
    <r>
      <rPr>
        <vertAlign val="superscript"/>
        <sz val="12"/>
        <rFont val="Times New Roman"/>
        <family val="2"/>
      </rPr>
      <t>4</t>
    </r>
  </si>
  <si>
    <r>
      <t>2026 рік</t>
    </r>
    <r>
      <rPr>
        <vertAlign val="superscript"/>
        <sz val="12"/>
        <rFont val="Times New Roman"/>
        <family val="2"/>
      </rPr>
      <t>4</t>
    </r>
  </si>
  <si>
    <t>ЗФ</t>
  </si>
  <si>
    <t>СФ</t>
  </si>
  <si>
    <t>Всього</t>
  </si>
  <si>
    <t>0100</t>
  </si>
  <si>
    <t>Державне управління</t>
  </si>
  <si>
    <t>1000</t>
  </si>
  <si>
    <t>Освіта</t>
  </si>
  <si>
    <t>2000</t>
  </si>
  <si>
    <t>Охорона здоров'я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</si>
  <si>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</si>
  <si>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</si>
  <si>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</si>
  <si>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</si>
  <si>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</si>
  <si>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Фізична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</si>
  <si>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</si>
  <si>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</si>
  <si>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</si>
  <si>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</si>
  <si>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</si>
  <si>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</si>
  <si>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</si>
  <si>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</si>
  <si>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РАЗОМ</t>
  </si>
  <si>
    <t>перевірка</t>
  </si>
  <si>
    <t>Додаток 3.1</t>
  </si>
  <si>
    <t>Видатки головних розпорядників коштів міського бюджету на 2021-2026 роки</t>
  </si>
  <si>
    <t xml:space="preserve">Код </t>
  </si>
  <si>
    <t>2022 рік²</t>
  </si>
  <si>
    <t>2023 рік³</t>
  </si>
  <si>
    <r>
      <t>2024 рік</t>
    </r>
    <r>
      <rPr>
        <vertAlign val="superscript"/>
        <sz val="12"/>
        <rFont val="Times New Roman"/>
        <family val="2"/>
      </rPr>
      <t>4</t>
    </r>
  </si>
  <si>
    <t>01</t>
  </si>
  <si>
    <t>Менська міська рада</t>
  </si>
  <si>
    <t>06</t>
  </si>
  <si>
    <t>Відділ освіти Менської міської ради</t>
  </si>
  <si>
    <t>08</t>
  </si>
  <si>
    <t>Відділ соціального захисту населення, сім'ї, молоді та охорони здоров'я Менської міської ради</t>
  </si>
  <si>
    <t>10</t>
  </si>
  <si>
    <t>Відділ культури Менської міської ради</t>
  </si>
  <si>
    <t>37</t>
  </si>
  <si>
    <t>Фінансове управління Менської міської ради</t>
  </si>
  <si>
    <t>Х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</si>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</sst>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0" formatCode="_-* #,##0.00\ _₽_-;\-* #,##0.00\ _₽_-;_-* &quot;-&quot;??\ _₽_-;_-@_-"/>
    <numFmt numFmtId="161" formatCode="_-* #,##0\ _₽_-;\-* #,##0\ _₽_-;_-* &quot;-&quot;\ _₽_-;_-@_-"/>
    <numFmt numFmtId="162" formatCode="#,##0.0"/>
  </numFmts>
  <fonts count="34">
    <font>
      <sz val="10"/>
      <color theme="1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0"/>
      <color indexed="12"/>
      <name val="Arial Cyr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0"/>
      <color indexed="20"/>
      <name val="Arial Cyr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name val="Times New Roman"/>
      <family val="2"/>
    </font>
    <font>
      <b/>
      <sz val="16"/>
      <name val="Times New Roman"/>
      <family val="2"/>
    </font>
    <font>
      <b/>
      <sz val="14"/>
      <name val="Times New Roman"/>
      <family val="2"/>
    </font>
    <font>
      <sz val="16"/>
      <name val="Times New Roman"/>
      <family val="2"/>
    </font>
    <font>
      <sz val="14"/>
      <color indexed="10"/>
      <name val="Times New Roman"/>
      <family val="2"/>
    </font>
    <font>
      <sz val="12"/>
      <name val="Times New Roman"/>
      <family val="2"/>
    </font>
    <font>
      <sz val="14"/>
      <color theme="1"/>
      <name val="Times New Roman"/>
      <family val="2"/>
    </font>
    <font>
      <b/>
      <sz val="12"/>
      <name val="Times New Roman"/>
      <family val="2"/>
    </font>
    <font>
      <sz val="12"/>
      <color theme="1"/>
      <name val="Times New Roman"/>
      <family val="2"/>
    </font>
    <font>
      <sz val="14"/>
      <name val="Arial Cyr"/>
      <family val="2"/>
    </font>
    <font>
      <vertAlign val="superscript"/>
      <sz val="14"/>
      <name val="Times New Roman"/>
      <family val="2"/>
    </font>
    <font>
      <vertAlign val="superscript"/>
      <sz val="12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5"/>
      </bottom>
    </border>
    <border>
      <left/>
      <right/>
      <top/>
      <bottom style="thick">
        <color theme="5" tint="0.49998998641967773"/>
      </bottom>
    </border>
    <border>
      <left/>
      <right/>
      <top/>
      <bottom style="medium">
        <color theme="5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5"/>
      </top>
      <bottom style="double">
        <color theme="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4" fillId="7" borderId="1">
      <alignment/>
      <protection/>
    </xf>
    <xf numFmtId="9" fontId="0" fillId="0" borderId="0">
      <alignment/>
      <protection/>
    </xf>
    <xf numFmtId="0" fontId="5" fillId="4" borderId="0">
      <alignment/>
      <protection/>
    </xf>
    <xf numFmtId="0" fontId="6" fillId="0" borderId="0">
      <alignment vertical="top"/>
      <protection/>
    </xf>
    <xf numFmtId="44" fontId="0" fillId="0" borderId="0">
      <alignment/>
      <protection/>
    </xf>
    <xf numFmtId="42" fontId="0" fillId="0" borderId="0">
      <alignment/>
      <protection/>
    </xf>
    <xf numFmtId="0" fontId="7" fillId="0" borderId="2">
      <alignment/>
      <protection/>
    </xf>
    <xf numFmtId="0" fontId="8" fillId="0" borderId="3">
      <alignment/>
      <protection/>
    </xf>
    <xf numFmtId="0" fontId="9" fillId="0" borderId="4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5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12" fillId="20" borderId="6">
      <alignment/>
      <protection/>
    </xf>
    <xf numFmtId="0" fontId="13" fillId="0" borderId="0">
      <alignment/>
      <protection/>
    </xf>
    <xf numFmtId="0" fontId="14" fillId="21" borderId="0">
      <alignment/>
      <protection/>
    </xf>
    <xf numFmtId="0" fontId="15" fillId="22" borderId="1">
      <alignment/>
      <protection/>
    </xf>
    <xf numFmtId="0" fontId="2" fillId="0" borderId="0">
      <alignment/>
      <protection/>
    </xf>
    <xf numFmtId="0" fontId="16" fillId="0" borderId="0">
      <alignment vertical="top"/>
      <protection/>
    </xf>
    <xf numFmtId="0" fontId="17" fillId="0" borderId="7">
      <alignment/>
      <protection/>
    </xf>
    <xf numFmtId="0" fontId="18" fillId="3" borderId="0">
      <alignment/>
      <protection/>
    </xf>
    <xf numFmtId="0" fontId="0" fillId="23" borderId="8">
      <alignment/>
      <protection/>
    </xf>
    <xf numFmtId="0" fontId="19" fillId="22" borderId="9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160" fontId="0" fillId="0" borderId="0">
      <alignment/>
      <protection/>
    </xf>
    <xf numFmtId="161" fontId="0" fillId="0" borderId="0">
      <alignment/>
      <protection/>
    </xf>
  </cellStyleXfs>
  <cellXfs count="63">
    <xf numFmtId="0" fontId="0" fillId="0" borderId="0" xfId="0"/>
    <xf numFmtId="0" fontId="22" fillId="24" borderId="0" xfId="0" applyFont="1" applyFill="1"/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3" fontId="22" fillId="24" borderId="0" xfId="0" applyNumberFormat="1" applyFont="1" applyFill="1"/>
    <xf numFmtId="0" fontId="22" fillId="24" borderId="0" xfId="0" applyFont="1" applyFill="1" applyAlignment="1">
      <alignment horizontal="right"/>
    </xf>
    <xf numFmtId="0" fontId="22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0" xfId="0" applyFont="1" applyFill="1" applyAlignment="1">
      <alignment horizontal="center"/>
    </xf>
    <xf numFmtId="0" fontId="22" fillId="24" borderId="10" xfId="0" applyFont="1" applyFill="1" applyBorder="1" applyAlignment="1">
      <alignment vertical="center"/>
    </xf>
    <xf numFmtId="3" fontId="25" fillId="24" borderId="10" xfId="0" applyNumberFormat="1" applyFont="1" applyFill="1" applyBorder="1" applyAlignment="1">
      <alignment vertical="center"/>
    </xf>
    <xf numFmtId="49" fontId="22" fillId="24" borderId="10" xfId="0" applyNumberFormat="1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3" fontId="26" fillId="24" borderId="0" xfId="0" applyNumberFormat="1" applyFont="1" applyFill="1"/>
    <xf numFmtId="0" fontId="27" fillId="24" borderId="0" xfId="0" applyFont="1" applyFill="1" applyAlignment="1">
      <alignment wrapText="1"/>
    </xf>
    <xf numFmtId="0" fontId="27" fillId="24" borderId="0" xfId="0" applyFont="1" applyFill="1" applyAlignment="1">
      <alignment horizontal="left" wrapText="1"/>
    </xf>
    <xf numFmtId="0" fontId="27" fillId="24" borderId="0" xfId="0" applyFont="1" applyFill="1" applyAlignment="1">
      <alignment horizontal="left"/>
    </xf>
    <xf numFmtId="0" fontId="22" fillId="24" borderId="10" xfId="0" applyFont="1" applyFill="1" applyBorder="1" applyAlignment="1">
      <alignment vertical="center" wrapText="1"/>
    </xf>
    <xf numFmtId="3" fontId="22" fillId="24" borderId="10" xfId="0" applyNumberFormat="1" applyFont="1" applyFill="1" applyBorder="1" applyAlignment="1">
      <alignment vertical="center"/>
    </xf>
    <xf numFmtId="1" fontId="28" fillId="24" borderId="10" xfId="62" applyNumberFormat="1" applyFont="1" applyFill="1" applyBorder="1">
      <alignment/>
      <protection/>
    </xf>
    <xf numFmtId="1" fontId="22" fillId="24" borderId="10" xfId="0" applyNumberFormat="1" applyFont="1" applyFill="1" applyBorder="1" applyAlignment="1">
      <alignment vertical="center"/>
    </xf>
    <xf numFmtId="1" fontId="22" fillId="24" borderId="10" xfId="0" applyNumberFormat="1" applyFont="1" applyFill="1" applyBorder="1" applyAlignment="1">
      <alignment horizontal="right" vertical="center"/>
    </xf>
    <xf numFmtId="3" fontId="22" fillId="24" borderId="10" xfId="0" applyNumberFormat="1" applyFont="1" applyFill="1" applyBorder="1" applyAlignment="1">
      <alignment horizontal="right" vertical="center"/>
    </xf>
    <xf numFmtId="162" fontId="22" fillId="24" borderId="0" xfId="0" applyNumberFormat="1" applyFont="1" applyFill="1"/>
    <xf numFmtId="4" fontId="22" fillId="24" borderId="0" xfId="0" applyNumberFormat="1" applyFont="1" applyFill="1"/>
    <xf numFmtId="0" fontId="27" fillId="24" borderId="0" xfId="0" applyFont="1" applyFill="1" applyAlignment="1">
      <alignment horizontal="center"/>
    </xf>
    <xf numFmtId="0" fontId="27" fillId="24" borderId="0" xfId="0" applyFont="1" applyFill="1"/>
    <xf numFmtId="0" fontId="29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horizontal="right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center" wrapText="1"/>
    </xf>
    <xf numFmtId="1" fontId="0" fillId="24" borderId="10" xfId="0" applyNumberFormat="1" applyFill="1" applyBorder="1"/>
    <xf numFmtId="1" fontId="0" fillId="24" borderId="0" xfId="0" applyNumberFormat="1" applyFill="1"/>
    <xf numFmtId="4" fontId="27" fillId="24" borderId="10" xfId="0" applyNumberFormat="1" applyFont="1" applyFill="1" applyBorder="1" applyAlignment="1">
      <alignment vertical="center" wrapText="1"/>
    </xf>
    <xf numFmtId="49" fontId="27" fillId="24" borderId="10" xfId="0" applyNumberFormat="1" applyFont="1" applyFill="1" applyBorder="1" applyAlignment="1">
      <alignment vertical="center" wrapText="1"/>
    </xf>
    <xf numFmtId="49" fontId="27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vertical="center" wrapText="1"/>
    </xf>
    <xf numFmtId="0" fontId="29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3" fontId="29" fillId="24" borderId="0" xfId="0" applyNumberFormat="1" applyFont="1" applyFill="1" applyAlignment="1">
      <alignment vertical="center"/>
    </xf>
    <xf numFmtId="3" fontId="27" fillId="24" borderId="0" xfId="0" applyNumberFormat="1" applyFont="1" applyFill="1"/>
    <xf numFmtId="1" fontId="27" fillId="24" borderId="0" xfId="0" applyNumberFormat="1" applyFont="1" applyFill="1"/>
    <xf numFmtId="0" fontId="27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right" vertical="center" wrapText="1"/>
    </xf>
    <xf numFmtId="0" fontId="27" fillId="24" borderId="0" xfId="0" applyFont="1" applyFill="1" applyAlignment="1">
      <alignment horizontal="right" vertical="center"/>
    </xf>
    <xf numFmtId="0" fontId="29" fillId="24" borderId="0" xfId="0" applyFont="1" applyFill="1" applyAlignment="1">
      <alignment horizontal="right" vertical="center" wrapText="1"/>
    </xf>
    <xf numFmtId="0" fontId="27" fillId="24" borderId="10" xfId="0" applyFont="1" applyFill="1" applyBorder="1" applyAlignment="1">
      <alignment horizontal="left" vertical="center" wrapText="1"/>
    </xf>
    <xf numFmtId="1" fontId="27" fillId="24" borderId="10" xfId="49" applyNumberFormat="1" applyFont="1" applyFill="1" applyBorder="1" applyAlignment="1">
      <alignment horizontal="right" vertical="center"/>
      <protection/>
    </xf>
    <xf numFmtId="1" fontId="30" fillId="24" borderId="10" xfId="0" applyNumberFormat="1" applyFont="1" applyFill="1" applyBorder="1" applyAlignment="1">
      <alignment horizontal="right" vertical="center"/>
    </xf>
    <xf numFmtId="0" fontId="27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right" vertical="center"/>
    </xf>
    <xf numFmtId="1" fontId="29" fillId="24" borderId="10" xfId="0" applyNumberFormat="1" applyFont="1" applyFill="1" applyBorder="1" applyAlignment="1">
      <alignment horizontal="right" vertical="center"/>
    </xf>
    <xf numFmtId="0" fontId="29" fillId="24" borderId="0" xfId="0" applyFont="1" applyFill="1" applyAlignment="1">
      <alignment horizontal="right" vertical="center"/>
    </xf>
    <xf numFmtId="3" fontId="29" fillId="24" borderId="0" xfId="0" applyNumberFormat="1" applyFont="1" applyFill="1" applyAlignment="1">
      <alignment horizontal="right" vertical="center"/>
    </xf>
    <xf numFmtId="3" fontId="27" fillId="24" borderId="0" xfId="0" applyNumberFormat="1" applyFont="1" applyFill="1" applyAlignment="1">
      <alignment horizontal="right"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– колірна тема 1" xfId="20"/>
    <cellStyle name="20% – колірна тема 2" xfId="21"/>
    <cellStyle name="20% – колірна тема 3" xfId="22"/>
    <cellStyle name="20% – колірна тема 4" xfId="23"/>
    <cellStyle name="20% – колірна тема 5" xfId="24"/>
    <cellStyle name="20% – колірна тема 6" xfId="25"/>
    <cellStyle name="40% – колірна тема 1" xfId="26"/>
    <cellStyle name="40% – колірна тема 2" xfId="27"/>
    <cellStyle name="40% – колірна тема 3" xfId="28"/>
    <cellStyle name="40% – колірна тема 4" xfId="29"/>
    <cellStyle name="40% – колірна тема 5" xfId="30"/>
    <cellStyle name="40% – колірна тема 6" xfId="31"/>
    <cellStyle name="60% – колірна тема 1" xfId="32"/>
    <cellStyle name="60% – колірна тема 2" xfId="33"/>
    <cellStyle name="60% – колірна тема 3" xfId="34"/>
    <cellStyle name="60% – колірна тема 4" xfId="35"/>
    <cellStyle name="60% – колірна тема 5" xfId="36"/>
    <cellStyle name="60% – колірна тема 6" xfId="37"/>
    <cellStyle name="Ввід" xfId="38"/>
    <cellStyle name="Відсотковий" xfId="39"/>
    <cellStyle name="Гарний" xfId="40"/>
    <cellStyle name="Гіперпосилання" xfId="41"/>
    <cellStyle name="Грошовий" xfId="42"/>
    <cellStyle name="Грошовий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&amp;apos;язана клітинка" xfId="50"/>
    <cellStyle name="Колірна тема 1" xfId="51"/>
    <cellStyle name="Колірна тема 2" xfId="52"/>
    <cellStyle name="Колірна тема 3" xfId="53"/>
    <cellStyle name="Колірна тема 4" xfId="54"/>
    <cellStyle name="Колірна тема 5" xfId="55"/>
    <cellStyle name="Колірна тема 6" xfId="56"/>
    <cellStyle name="Контрольна клітинка" xfId="57"/>
    <cellStyle name="Назва" xfId="58"/>
    <cellStyle name="Нейтральний" xfId="59"/>
    <cellStyle name="Обчислення" xfId="60"/>
    <cellStyle name="Обычный 10 2" xfId="61"/>
    <cellStyle name="Переглянуте гіперпосилання" xfId="62"/>
    <cellStyle name="Підсумок" xfId="63"/>
    <cellStyle name="Поганий" xfId="64"/>
    <cellStyle name="Примітка" xfId="65"/>
    <cellStyle name="Результат" xfId="66"/>
    <cellStyle name="Текст попередження" xfId="67"/>
    <cellStyle name="Текст пояснення" xfId="68"/>
    <cellStyle name="Фінансовий" xfId="69"/>
    <cellStyle name="Фінансовий [0]" xfId="70"/>
  </cellStyles>
  <dxfs count="1">
    <dxf>
      <font>
        <b/>
        <i val="0"/>
      </font>
      <fill>
        <patternFill patternType="solid">
          <fgColor indexed="27"/>
          <bgColor indexed="27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G36"/>
  <sheetViews>
    <sheetView zoomScale="60" zoomScaleNormal="60" workbookViewId="0" topLeftCell="A1">
      <selection activeCell="E31" sqref="E31"/>
    </sheetView>
  </sheetViews>
  <sheetFormatPr defaultColWidth="9.125" defaultRowHeight="18" customHeight="1"/>
  <cols>
    <col min="1" max="1" width="61.375" style="1" bestFit="1" customWidth="1"/>
    <col min="2" max="7" width="17.00390625" style="1" bestFit="1" customWidth="1"/>
    <col min="8" max="257" width="9.125" style="1" bestFit="1" customWidth="1"/>
  </cols>
  <sheetData>
    <row r="1" spans="4:7" ht="18">
      <c r="D1" s="2" t="s">
        <v>0</v>
      </c>
      <c r="E1" s="2"/>
      <c r="F1" s="2"/>
      <c r="G1" s="2"/>
    </row>
    <row r="2" ht="4.5" customHeight="1"/>
    <row r="3" spans="1:7" ht="19.5">
      <c r="A3" s="3" t="s">
        <v>1</v>
      </c>
      <c r="B3" s="3"/>
      <c r="C3" s="3"/>
      <c r="D3" s="3"/>
      <c r="E3" s="3"/>
      <c r="F3" s="3"/>
      <c r="G3" s="3"/>
    </row>
    <row r="4" spans="2:7" ht="18">
      <c r="B4" s="4"/>
      <c r="E4" s="5"/>
      <c r="F4" s="5"/>
      <c r="G4" s="5" t="s">
        <v>2</v>
      </c>
    </row>
    <row r="5" spans="1:7" ht="20.4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spans="1:7" ht="18">
      <c r="A6" s="7" t="s">
        <v>10</v>
      </c>
      <c r="B6" s="7"/>
      <c r="C6" s="7"/>
      <c r="D6" s="7"/>
      <c r="E6" s="7"/>
      <c r="F6" s="8"/>
      <c r="G6" s="8"/>
    </row>
    <row r="7" spans="1:7" ht="21.75" customHeight="1">
      <c r="A7" s="9" t="s">
        <v>11</v>
      </c>
      <c r="B7" s="10">
        <v>247038111.83</v>
      </c>
      <c r="C7" s="10">
        <v>223362167.94</v>
      </c>
      <c r="D7" s="10">
        <v>302261481.2</v>
      </c>
      <c r="E7" s="10">
        <v>237703400</v>
      </c>
      <c r="F7" s="10">
        <f>44000000+157417600+21020000+15400000+7845000</f>
        <v>245682600</v>
      </c>
      <c r="G7" s="10">
        <f>48400000+165667600+23110000+16940000+8629000</f>
        <v>262746600</v>
      </c>
    </row>
    <row r="8" spans="1:7" ht="21.75" customHeight="1">
      <c r="A8" s="9" t="s">
        <v>12</v>
      </c>
      <c r="B8" s="10">
        <v>230181824.93</v>
      </c>
      <c r="C8" s="10">
        <v>222937178.74</v>
      </c>
      <c r="D8" s="10">
        <v>280094192.08</v>
      </c>
      <c r="E8" s="10">
        <v>237703400</v>
      </c>
      <c r="F8" s="10">
        <v>245682600</v>
      </c>
      <c r="G8" s="10">
        <v>262746600</v>
      </c>
    </row>
    <row r="9" spans="1:7" ht="21.75" customHeight="1">
      <c r="A9" s="9" t="s">
        <v>13</v>
      </c>
      <c r="B9" s="10">
        <f>B10+B11</f>
        <v>202500</v>
      </c>
      <c r="C9" s="10">
        <f>C10+C11</f>
        <v>0</v>
      </c>
      <c r="D9" s="10">
        <f>D10+D11</f>
        <v>247500</v>
      </c>
      <c r="E9" s="10">
        <v>0</v>
      </c>
      <c r="F9" s="10">
        <v>0</v>
      </c>
      <c r="G9" s="10"/>
    </row>
    <row r="10" spans="1:7" ht="21.75" customHeight="1">
      <c r="A10" s="11" t="s">
        <v>14</v>
      </c>
      <c r="B10" s="10">
        <v>202500</v>
      </c>
      <c r="C10" s="10">
        <v>0</v>
      </c>
      <c r="D10" s="10">
        <v>247500</v>
      </c>
      <c r="E10" s="10">
        <v>0</v>
      </c>
      <c r="F10" s="10">
        <v>0</v>
      </c>
      <c r="G10" s="10"/>
    </row>
    <row r="11" spans="1:7" ht="21.75" customHeight="1">
      <c r="A11" s="11" t="s">
        <v>15</v>
      </c>
      <c r="B11" s="10"/>
      <c r="C11" s="10">
        <v>0</v>
      </c>
      <c r="D11" s="10">
        <v>0</v>
      </c>
      <c r="E11" s="10"/>
      <c r="F11" s="10"/>
      <c r="G11" s="10"/>
    </row>
    <row r="12" spans="1:7" ht="21.75" customHeight="1">
      <c r="A12" s="9" t="s">
        <v>16</v>
      </c>
      <c r="B12" s="10">
        <v>-9443944.29</v>
      </c>
      <c r="C12" s="10">
        <v>-1661810.38</v>
      </c>
      <c r="D12" s="10">
        <v>-36647769.56</v>
      </c>
      <c r="E12" s="10"/>
      <c r="F12" s="10"/>
      <c r="G12" s="10"/>
    </row>
    <row r="13" spans="1:7" ht="18">
      <c r="A13" s="12" t="s">
        <v>17</v>
      </c>
      <c r="B13" s="12"/>
      <c r="C13" s="12"/>
      <c r="D13" s="12"/>
      <c r="E13" s="12"/>
      <c r="F13" s="13"/>
      <c r="G13" s="13"/>
    </row>
    <row r="14" spans="1:7" ht="21.75" customHeight="1">
      <c r="A14" s="9" t="s">
        <v>11</v>
      </c>
      <c r="B14" s="10">
        <v>6020292.22</v>
      </c>
      <c r="C14" s="10">
        <v>16504209.46</v>
      </c>
      <c r="D14" s="10">
        <v>40825703.63</v>
      </c>
      <c r="E14" s="10">
        <v>4377489</v>
      </c>
      <c r="F14" s="10">
        <f>4377489-44346</f>
        <v>4333143</v>
      </c>
      <c r="G14" s="10">
        <f>4377489-44346</f>
        <v>4333143</v>
      </c>
    </row>
    <row r="15" spans="1:7" ht="21.75" customHeight="1">
      <c r="A15" s="9" t="s">
        <v>12</v>
      </c>
      <c r="B15" s="10">
        <v>17134380.6</v>
      </c>
      <c r="C15" s="10">
        <v>16996638.43</v>
      </c>
      <c r="D15" s="10">
        <v>78661942.24</v>
      </c>
      <c r="E15" s="10">
        <v>4377489</v>
      </c>
      <c r="F15" s="10">
        <v>4333143</v>
      </c>
      <c r="G15" s="10">
        <v>4333143</v>
      </c>
    </row>
    <row r="16" spans="1:7" ht="21.75" customHeight="1">
      <c r="A16" s="9" t="s">
        <v>13</v>
      </c>
      <c r="B16" s="10">
        <f aca="true" t="shared" si="0" ref="B16:G16">B17+B18</f>
        <v>0</v>
      </c>
      <c r="C16" s="10">
        <f t="shared" si="0"/>
        <v>-132446.77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</row>
    <row r="17" spans="1:7" ht="21.75" customHeight="1">
      <c r="A17" s="11" t="s">
        <v>14</v>
      </c>
      <c r="B17" s="10">
        <v>140000</v>
      </c>
      <c r="C17" s="10">
        <v>7050</v>
      </c>
      <c r="D17" s="10">
        <v>150000</v>
      </c>
      <c r="E17" s="10">
        <v>165000</v>
      </c>
      <c r="F17" s="10">
        <v>165000</v>
      </c>
      <c r="G17" s="10">
        <v>165000</v>
      </c>
    </row>
    <row r="18" spans="1:7" ht="21.75" customHeight="1">
      <c r="A18" s="11" t="s">
        <v>15</v>
      </c>
      <c r="B18" s="10">
        <v>-140000</v>
      </c>
      <c r="C18" s="10">
        <v>-139496.77</v>
      </c>
      <c r="D18" s="10">
        <v>-150000</v>
      </c>
      <c r="E18" s="10">
        <v>-165000</v>
      </c>
      <c r="F18" s="10">
        <v>-165000</v>
      </c>
      <c r="G18" s="10">
        <v>-165000</v>
      </c>
    </row>
    <row r="19" spans="1:7" ht="21.75" customHeight="1">
      <c r="A19" s="9" t="s">
        <v>16</v>
      </c>
      <c r="B19" s="10">
        <v>9443944.29</v>
      </c>
      <c r="C19" s="10">
        <v>1661810.38</v>
      </c>
      <c r="D19" s="10">
        <v>36647769.56</v>
      </c>
      <c r="E19" s="10"/>
      <c r="F19" s="10"/>
      <c r="G19" s="10"/>
    </row>
    <row r="20" spans="1:7" ht="18">
      <c r="A20" s="12" t="s">
        <v>18</v>
      </c>
      <c r="B20" s="12"/>
      <c r="C20" s="12"/>
      <c r="D20" s="12"/>
      <c r="E20" s="12"/>
      <c r="F20" s="13"/>
      <c r="G20" s="13"/>
    </row>
    <row r="21" spans="1:7" ht="24" customHeight="1">
      <c r="A21" s="9" t="s">
        <v>11</v>
      </c>
      <c r="B21" s="10">
        <f aca="true" t="shared" si="1" ref="B21:E22">B7+B14</f>
        <v>253058404.05</v>
      </c>
      <c r="C21" s="10">
        <f t="shared" si="1"/>
        <v>239866377.4</v>
      </c>
      <c r="D21" s="10">
        <f t="shared" si="1"/>
        <v>343087184.83</v>
      </c>
      <c r="E21" s="10">
        <f t="shared" si="1"/>
        <v>242080889</v>
      </c>
      <c r="F21" s="10">
        <f aca="true" t="shared" si="2" ref="F21:F22">F7+F14</f>
        <v>250015743</v>
      </c>
      <c r="G21" s="10">
        <f aca="true" t="shared" si="3" ref="G21:G22">G7+G14</f>
        <v>267079743</v>
      </c>
    </row>
    <row r="22" spans="1:7" ht="24" customHeight="1">
      <c r="A22" s="9" t="s">
        <v>12</v>
      </c>
      <c r="B22" s="10">
        <f t="shared" si="1"/>
        <v>247316205.53</v>
      </c>
      <c r="C22" s="10">
        <f t="shared" si="1"/>
        <v>239933817.17000002</v>
      </c>
      <c r="D22" s="10">
        <f t="shared" si="1"/>
        <v>358756134.32</v>
      </c>
      <c r="E22" s="10">
        <f t="shared" si="1"/>
        <v>242080889</v>
      </c>
      <c r="F22" s="10">
        <f t="shared" si="2"/>
        <v>250015743</v>
      </c>
      <c r="G22" s="10">
        <f t="shared" si="3"/>
        <v>267079743</v>
      </c>
    </row>
    <row r="23" spans="1:7" ht="24" customHeight="1">
      <c r="A23" s="9" t="s">
        <v>13</v>
      </c>
      <c r="B23" s="10">
        <f aca="true" t="shared" si="4" ref="B23:G23">SUM(B24:B25)</f>
        <v>202500</v>
      </c>
      <c r="C23" s="10">
        <f t="shared" si="4"/>
        <v>-132446.77</v>
      </c>
      <c r="D23" s="10">
        <f t="shared" si="4"/>
        <v>247500</v>
      </c>
      <c r="E23" s="10">
        <f t="shared" si="4"/>
        <v>0</v>
      </c>
      <c r="F23" s="10">
        <f t="shared" si="4"/>
        <v>0</v>
      </c>
      <c r="G23" s="10">
        <f t="shared" si="4"/>
        <v>0</v>
      </c>
    </row>
    <row r="24" spans="1:7" ht="24" customHeight="1">
      <c r="A24" s="11" t="s">
        <v>14</v>
      </c>
      <c r="B24" s="10">
        <f aca="true" t="shared" si="5" ref="B24:E26">B10+B17</f>
        <v>342500</v>
      </c>
      <c r="C24" s="10">
        <f t="shared" si="5"/>
        <v>7050</v>
      </c>
      <c r="D24" s="10">
        <f t="shared" si="5"/>
        <v>397500</v>
      </c>
      <c r="E24" s="10">
        <f t="shared" si="5"/>
        <v>165000</v>
      </c>
      <c r="F24" s="10">
        <f aca="true" t="shared" si="6" ref="F24:G26">F10+F17</f>
        <v>165000</v>
      </c>
      <c r="G24" s="10">
        <f t="shared" si="6"/>
        <v>165000</v>
      </c>
    </row>
    <row r="25" spans="1:7" ht="24" customHeight="1">
      <c r="A25" s="11" t="s">
        <v>15</v>
      </c>
      <c r="B25" s="10">
        <f t="shared" si="5"/>
        <v>-140000</v>
      </c>
      <c r="C25" s="10">
        <f t="shared" si="5"/>
        <v>-139496.77</v>
      </c>
      <c r="D25" s="10">
        <f t="shared" si="5"/>
        <v>-150000</v>
      </c>
      <c r="E25" s="10">
        <f t="shared" si="5"/>
        <v>-165000</v>
      </c>
      <c r="F25" s="10">
        <f t="shared" si="6"/>
        <v>-165000</v>
      </c>
      <c r="G25" s="10">
        <f t="shared" si="6"/>
        <v>-165000</v>
      </c>
    </row>
    <row r="26" spans="1:7" ht="24" customHeight="1">
      <c r="A26" s="9" t="s">
        <v>16</v>
      </c>
      <c r="B26" s="10">
        <f t="shared" si="5"/>
        <v>0</v>
      </c>
      <c r="C26" s="10">
        <f>C12+C19</f>
        <v>0</v>
      </c>
      <c r="D26" s="10">
        <f>D12+D19</f>
        <v>0</v>
      </c>
      <c r="E26" s="10">
        <f>E12+E19</f>
        <v>0</v>
      </c>
      <c r="F26" s="10">
        <f t="shared" si="6"/>
        <v>0</v>
      </c>
      <c r="G26" s="10">
        <f t="shared" si="6"/>
        <v>0</v>
      </c>
    </row>
    <row r="27" spans="2:7" ht="14.25" customHeight="1">
      <c r="B27" s="14"/>
      <c r="C27" s="14"/>
      <c r="D27" s="14"/>
      <c r="E27" s="14"/>
      <c r="F27" s="14"/>
      <c r="G27" s="14"/>
    </row>
    <row r="28" spans="1:7" ht="14.25" customHeight="1">
      <c r="A28" s="15" t="s">
        <v>19</v>
      </c>
      <c r="B28" s="15"/>
      <c r="C28" s="15"/>
      <c r="D28" s="15"/>
      <c r="E28" s="15"/>
      <c r="F28" s="14"/>
      <c r="G28" s="14"/>
    </row>
    <row r="29" spans="1:7" ht="14.25" customHeight="1">
      <c r="A29" s="15" t="s">
        <v>20</v>
      </c>
      <c r="B29" s="15"/>
      <c r="C29" s="15"/>
      <c r="D29" s="15"/>
      <c r="E29" s="15"/>
      <c r="F29" s="15"/>
      <c r="G29" s="15"/>
    </row>
    <row r="30" spans="1:7" ht="18.75" customHeight="1">
      <c r="A30" s="16" t="s">
        <v>21</v>
      </c>
      <c r="B30" s="16"/>
      <c r="C30" s="16"/>
      <c r="D30" s="16"/>
      <c r="E30" s="16"/>
      <c r="F30" s="16"/>
      <c r="G30" s="16"/>
    </row>
    <row r="31" ht="19.2">
      <c r="A31" s="17" t="s">
        <v>22</v>
      </c>
    </row>
    <row r="32" spans="1:7" ht="18">
      <c r="A32" s="1" t="s">
        <v>23</v>
      </c>
      <c r="C32" s="4"/>
      <c r="D32" s="4"/>
      <c r="E32" s="4"/>
      <c r="F32" s="4"/>
      <c r="G32" s="4"/>
    </row>
    <row r="33" spans="1:7" ht="18">
      <c r="A33" s="1" t="s">
        <v>24</v>
      </c>
      <c r="C33" s="4"/>
      <c r="D33" s="4"/>
      <c r="E33" s="4"/>
      <c r="F33" s="4"/>
      <c r="G33" s="4"/>
    </row>
    <row r="35" ht="18">
      <c r="D35" s="4"/>
    </row>
    <row r="36" spans="3:7" ht="18">
      <c r="C36" s="4"/>
      <c r="D36" s="4"/>
      <c r="E36" s="4"/>
      <c r="F36" s="4"/>
      <c r="G36" s="4"/>
    </row>
  </sheetData>
  <mergeCells count="8">
    <mergeCell ref="D1:E1"/>
    <mergeCell ref="A3:E3"/>
    <mergeCell ref="A6:E6"/>
    <mergeCell ref="A13:E13"/>
    <mergeCell ref="A20:E20"/>
    <mergeCell ref="A28:E28"/>
    <mergeCell ref="A29:E29"/>
    <mergeCell ref="A30:E30"/>
  </mergeCells>
  <printOptions/>
  <pageMargins left="0.35433099999999995" right="0.35433099999999995" top="0.7874019999999998" bottom="0.3937009999999999" header="0.511811" footer="0.511811"/>
  <pageSetup horizontalDpi="300" verticalDpi="300" orientation="landscape" paperSize="9" scale="74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K34"/>
  <sheetViews>
    <sheetView zoomScale="60" zoomScaleNormal="60" workbookViewId="0" topLeftCell="A1">
      <selection activeCell="B1" sqref="B1:G16384"/>
    </sheetView>
  </sheetViews>
  <sheetFormatPr defaultColWidth="9.125" defaultRowHeight="18" customHeight="1"/>
  <cols>
    <col min="1" max="1" width="55.625" style="1" bestFit="1" customWidth="1"/>
    <col min="2" max="7" width="16.125" style="1" bestFit="1" customWidth="1"/>
    <col min="8" max="8" width="16.50390625" style="1" bestFit="1" customWidth="1"/>
    <col min="9" max="9" width="15.875" style="1" bestFit="1" customWidth="1"/>
    <col min="10" max="10" width="16.375" style="1" bestFit="1" customWidth="1"/>
    <col min="11" max="11" width="14.50390625" style="1" bestFit="1" customWidth="1"/>
    <col min="12" max="257" width="9.125" style="1" bestFit="1" customWidth="1"/>
  </cols>
  <sheetData>
    <row r="1" spans="4:7" ht="18">
      <c r="D1" s="2" t="s">
        <v>25</v>
      </c>
      <c r="E1" s="2"/>
      <c r="F1" s="2"/>
      <c r="G1" s="2"/>
    </row>
    <row r="3" spans="1:7" ht="18">
      <c r="A3" s="8" t="s">
        <v>26</v>
      </c>
      <c r="B3" s="8"/>
      <c r="C3" s="8"/>
      <c r="D3" s="8"/>
      <c r="E3" s="8"/>
      <c r="F3" s="8"/>
      <c r="G3" s="8"/>
    </row>
    <row r="4" spans="5:7" ht="18">
      <c r="E4" s="5"/>
      <c r="F4" s="5"/>
      <c r="G4" s="5" t="s">
        <v>2</v>
      </c>
    </row>
    <row r="5" spans="1:7" ht="20.4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spans="1:10" ht="38.25" customHeight="1">
      <c r="A6" s="18" t="s">
        <v>27</v>
      </c>
      <c r="B6" s="19">
        <f>'Додаток 1'!B21</f>
        <v>253058404.05</v>
      </c>
      <c r="C6" s="19">
        <f>'Додаток 1'!C21</f>
        <v>239866377.4</v>
      </c>
      <c r="D6" s="19">
        <f>'Додаток 1'!D21</f>
        <v>343087184.83</v>
      </c>
      <c r="E6" s="19">
        <f>'Додаток 1'!E21</f>
        <v>242080889</v>
      </c>
      <c r="F6" s="19">
        <f>'Додаток 1'!F21</f>
        <v>250015743</v>
      </c>
      <c r="G6" s="19">
        <f>'Додаток 1'!G21</f>
        <v>267079743</v>
      </c>
      <c r="I6" s="4"/>
      <c r="J6" s="4"/>
    </row>
    <row r="7" spans="1:11" ht="21.75" customHeight="1">
      <c r="A7" s="9" t="s">
        <v>28</v>
      </c>
      <c r="B7" s="19">
        <f>102745460.7+359660</f>
        <v>103105120.7</v>
      </c>
      <c r="C7" s="19">
        <f>C8+C9+C10+C11</f>
        <v>83396241.04</v>
      </c>
      <c r="D7" s="19">
        <f>D8+D9+D10+D11</f>
        <v>122029262.53999999</v>
      </c>
      <c r="E7" s="19">
        <f>E8+E9+E10+E11</f>
        <v>95697746</v>
      </c>
      <c r="F7" s="19">
        <f>F8+F9+F10+F11</f>
        <v>88994286</v>
      </c>
      <c r="G7" s="19">
        <f>G8+G9+G10+G11</f>
        <v>89956140</v>
      </c>
      <c r="J7" s="4"/>
      <c r="K7" s="4"/>
    </row>
    <row r="8" spans="1:7" ht="21.75" customHeight="1">
      <c r="A8" s="9" t="s">
        <v>29</v>
      </c>
      <c r="B8" s="20">
        <v>11029700</v>
      </c>
      <c r="C8" s="20">
        <v>7745400</v>
      </c>
      <c r="D8" s="19">
        <v>36636300</v>
      </c>
      <c r="E8" s="19">
        <v>13444700</v>
      </c>
      <c r="F8" s="19">
        <f>13444700</f>
        <v>13444700</v>
      </c>
      <c r="G8" s="19">
        <v>13444700</v>
      </c>
    </row>
    <row r="9" spans="1:9" ht="21.75" customHeight="1">
      <c r="A9" s="11" t="s">
        <v>30</v>
      </c>
      <c r="B9" s="19">
        <f>2317200</f>
        <v>2317200</v>
      </c>
      <c r="C9" s="21">
        <v>1850000</v>
      </c>
      <c r="D9" s="22">
        <v>2760100</v>
      </c>
      <c r="E9" s="22">
        <v>5687300</v>
      </c>
      <c r="F9" s="22"/>
      <c r="G9" s="22"/>
      <c r="H9" s="4"/>
      <c r="I9" s="4"/>
    </row>
    <row r="10" spans="1:7" ht="21.75" customHeight="1">
      <c r="A10" s="11" t="s">
        <v>31</v>
      </c>
      <c r="B10" s="19">
        <f>83324094+6074466.7</f>
        <v>89398560.7</v>
      </c>
      <c r="C10" s="20">
        <f>70812400+2988441.04</f>
        <v>73800841.04</v>
      </c>
      <c r="D10" s="20">
        <f>63405400+4145795.1+15081667.44</f>
        <v>82632862.53999999</v>
      </c>
      <c r="E10" s="20">
        <f>74917600+1648146</f>
        <v>76565746</v>
      </c>
      <c r="F10" s="20">
        <f>74917600+120000+556332-44346</f>
        <v>75549586</v>
      </c>
      <c r="G10" s="20">
        <f>74917600+120000+1518186-44346</f>
        <v>76511440</v>
      </c>
    </row>
    <row r="11" spans="1:7" ht="21.75" customHeight="1">
      <c r="A11" s="11" t="s">
        <v>32</v>
      </c>
      <c r="B11" s="19">
        <v>359660</v>
      </c>
      <c r="C11" s="20">
        <v>0</v>
      </c>
      <c r="D11" s="20"/>
      <c r="E11" s="20">
        <v>0</v>
      </c>
      <c r="F11" s="20"/>
      <c r="G11" s="20"/>
    </row>
    <row r="12" spans="1:7" ht="21.75" customHeight="1">
      <c r="A12" s="11"/>
      <c r="B12" s="19"/>
      <c r="C12" s="21"/>
      <c r="D12" s="22"/>
      <c r="E12" s="22"/>
      <c r="F12" s="22"/>
      <c r="G12" s="22"/>
    </row>
    <row r="13" spans="1:10" ht="21.75" customHeight="1">
      <c r="A13" s="11" t="s">
        <v>33</v>
      </c>
      <c r="B13" s="19">
        <f>140618318.55+147595.79</f>
        <v>140765914.34</v>
      </c>
      <c r="C13" s="19">
        <f>136006081.99+91926.21</f>
        <v>136098008.20000002</v>
      </c>
      <c r="D13" s="23">
        <f>191193386.1+120000</f>
        <v>191313386.1</v>
      </c>
      <c r="E13" s="23">
        <v>138439500</v>
      </c>
      <c r="F13" s="23">
        <f aca="true" t="shared" si="0" ref="F13:F16">E13*1.1</f>
        <v>152283450</v>
      </c>
      <c r="G13" s="23">
        <f aca="true" t="shared" si="1" ref="G13:G16">F13*1.1</f>
        <v>167511795</v>
      </c>
      <c r="H13" s="4"/>
      <c r="I13" s="4"/>
      <c r="J13" s="4"/>
    </row>
    <row r="14" spans="1:9" ht="21.75" customHeight="1">
      <c r="A14" s="9" t="s">
        <v>34</v>
      </c>
      <c r="B14" s="19">
        <v>85567405.7</v>
      </c>
      <c r="C14" s="19">
        <v>91157688.71</v>
      </c>
      <c r="D14" s="23">
        <v>131136600</v>
      </c>
      <c r="E14" s="23">
        <v>75450000</v>
      </c>
      <c r="F14" s="23">
        <f t="shared" si="0"/>
        <v>82995000</v>
      </c>
      <c r="G14" s="23">
        <f t="shared" si="1"/>
        <v>91294500</v>
      </c>
      <c r="I14" s="4"/>
    </row>
    <row r="15" spans="1:7" ht="21.75" customHeight="1">
      <c r="A15" s="9"/>
      <c r="B15" s="19"/>
      <c r="C15" s="19"/>
      <c r="D15" s="23"/>
      <c r="E15" s="23"/>
      <c r="F15" s="23"/>
      <c r="G15" s="23"/>
    </row>
    <row r="16" spans="1:7" ht="21.75" customHeight="1">
      <c r="A16" s="9" t="s">
        <v>35</v>
      </c>
      <c r="B16" s="19">
        <f>3674332.58+4895119.57</f>
        <v>8569452.15</v>
      </c>
      <c r="C16" s="19">
        <f>3959844.91+16143813.07</f>
        <v>20103657.98</v>
      </c>
      <c r="D16" s="23">
        <f>4120500+25624036.19</f>
        <v>29744536.19</v>
      </c>
      <c r="E16" s="23">
        <v>7943643</v>
      </c>
      <c r="F16" s="23">
        <f t="shared" si="0"/>
        <v>8738007.3</v>
      </c>
      <c r="G16" s="23">
        <f t="shared" si="1"/>
        <v>9611808.030000001</v>
      </c>
    </row>
    <row r="17" spans="1:7" ht="21.75" customHeight="1">
      <c r="A17" s="9" t="s">
        <v>36</v>
      </c>
      <c r="B17" s="19">
        <v>4733737.45</v>
      </c>
      <c r="C17" s="19">
        <v>16060026.09</v>
      </c>
      <c r="D17" s="19">
        <v>25540036.19</v>
      </c>
      <c r="E17" s="19">
        <v>4213143</v>
      </c>
      <c r="F17" s="19">
        <v>4213143</v>
      </c>
      <c r="G17" s="19">
        <v>4213143</v>
      </c>
    </row>
    <row r="18" spans="1:7" ht="21.75" customHeight="1">
      <c r="A18" s="11"/>
      <c r="B18" s="19"/>
      <c r="C18" s="19"/>
      <c r="D18" s="23"/>
      <c r="E18" s="23"/>
      <c r="F18" s="23"/>
      <c r="G18" s="23"/>
    </row>
    <row r="19" spans="1:7" ht="21.75" customHeight="1">
      <c r="A19" s="11" t="s">
        <v>37</v>
      </c>
      <c r="B19" s="19">
        <v>617916.86</v>
      </c>
      <c r="C19" s="19">
        <v>268470.18</v>
      </c>
      <c r="D19" s="19">
        <v>0</v>
      </c>
      <c r="E19" s="19">
        <v>0</v>
      </c>
      <c r="F19" s="19">
        <v>0</v>
      </c>
      <c r="G19" s="19">
        <v>0</v>
      </c>
    </row>
    <row r="20" spans="1:7" ht="21.75" customHeight="1">
      <c r="A20" s="9" t="s">
        <v>38</v>
      </c>
      <c r="B20" s="19">
        <f>144292651.13+5660632.22</f>
        <v>149953283.35</v>
      </c>
      <c r="C20" s="19">
        <f>C6-C7</f>
        <v>156470136.36</v>
      </c>
      <c r="D20" s="19">
        <f>D6-D7</f>
        <v>221057922.29</v>
      </c>
      <c r="E20" s="19">
        <f>E6-E7</f>
        <v>146383143</v>
      </c>
      <c r="F20" s="19">
        <f>F6-F7</f>
        <v>161021457</v>
      </c>
      <c r="G20" s="19">
        <f>G6-G7</f>
        <v>177123603</v>
      </c>
    </row>
    <row r="21" spans="1:7" ht="21.75" customHeight="1">
      <c r="A21" s="1"/>
      <c r="B21" s="1"/>
      <c r="C21" s="1"/>
      <c r="D21" s="1"/>
      <c r="E21" s="1"/>
      <c r="F21" s="1"/>
      <c r="G21" s="1"/>
    </row>
    <row r="22" spans="1:7" ht="14.25" customHeight="1">
      <c r="A22" s="15" t="s">
        <v>19</v>
      </c>
      <c r="B22" s="15"/>
      <c r="C22" s="15"/>
      <c r="D22" s="15"/>
      <c r="E22" s="15"/>
      <c r="F22" s="14"/>
      <c r="G22" s="14"/>
    </row>
    <row r="23" spans="1:7" ht="14.25" customHeight="1">
      <c r="A23" s="15" t="s">
        <v>39</v>
      </c>
      <c r="B23" s="15"/>
      <c r="C23" s="15"/>
      <c r="D23" s="15"/>
      <c r="E23" s="15"/>
      <c r="F23" s="15"/>
      <c r="G23" s="15"/>
    </row>
    <row r="24" spans="1:7" ht="18.75" customHeight="1">
      <c r="A24" s="16" t="s">
        <v>21</v>
      </c>
      <c r="B24" s="16"/>
      <c r="C24" s="16"/>
      <c r="D24" s="16"/>
      <c r="E24" s="16"/>
      <c r="F24" s="16"/>
      <c r="G24" s="16"/>
    </row>
    <row r="25" ht="19.2">
      <c r="A25" s="17" t="s">
        <v>22</v>
      </c>
    </row>
    <row r="26" spans="1:7" ht="18">
      <c r="A26" s="1" t="s">
        <v>23</v>
      </c>
      <c r="C26" s="4"/>
      <c r="D26" s="4"/>
      <c r="E26" s="4"/>
      <c r="F26" s="4"/>
      <c r="G26" s="4"/>
    </row>
    <row r="27" spans="1:7" ht="18">
      <c r="A27" s="1" t="s">
        <v>24</v>
      </c>
      <c r="C27" s="4"/>
      <c r="D27" s="4"/>
      <c r="E27" s="4"/>
      <c r="F27" s="4"/>
      <c r="G27" s="4"/>
    </row>
    <row r="28" spans="3:7" ht="18">
      <c r="C28" s="4">
        <f>C7+C13+C16+C19-C6</f>
        <v>0</v>
      </c>
      <c r="D28" s="4">
        <f>D7+D13+D16+D19-D6</f>
        <v>0</v>
      </c>
      <c r="E28" s="4">
        <f>E7+E13+E16+E19-E6</f>
        <v>0</v>
      </c>
      <c r="F28" s="4">
        <f>F7+F13+F16+F19-F6</f>
        <v>0.30000001192092896</v>
      </c>
      <c r="G28" s="4">
        <f>G7+G13+G16+G19-G6</f>
        <v>0.030000001192092896</v>
      </c>
    </row>
    <row r="29" ht="18">
      <c r="C29" s="24"/>
    </row>
    <row r="30" ht="18">
      <c r="C30" s="24"/>
    </row>
    <row r="32" spans="4:7" ht="18">
      <c r="D32" s="24"/>
      <c r="E32" s="25"/>
      <c r="F32" s="25"/>
      <c r="G32" s="25"/>
    </row>
    <row r="33" spans="4:7" ht="18">
      <c r="D33" s="24"/>
      <c r="E33" s="25"/>
      <c r="F33" s="25"/>
      <c r="G33" s="25"/>
    </row>
    <row r="34" spans="4:7" ht="18">
      <c r="D34" s="24"/>
      <c r="E34" s="24"/>
      <c r="F34" s="24"/>
      <c r="G34" s="24"/>
    </row>
  </sheetData>
  <mergeCells count="5">
    <mergeCell ref="D1:E1"/>
    <mergeCell ref="A3:E3"/>
    <mergeCell ref="A22:E22"/>
    <mergeCell ref="A23:E23"/>
    <mergeCell ref="A24:E24"/>
  </mergeCells>
  <printOptions/>
  <pageMargins left="0.19684999999999997" right="0.19684999999999997" top="0.7874019999999998" bottom="0.19684999999999997" header="0.511811" footer="0.511811"/>
  <pageSetup horizontalDpi="300" verticalDpi="300" orientation="landscape" paperSize="9" scale="82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1:T26"/>
  <sheetViews>
    <sheetView zoomScale="85" zoomScaleNormal="85" workbookViewId="0" topLeftCell="A1">
      <selection activeCell="I16" sqref="I16"/>
    </sheetView>
  </sheetViews>
  <sheetFormatPr defaultColWidth="9.125" defaultRowHeight="15" customHeight="1"/>
  <cols>
    <col min="1" max="1" width="13.125" style="26" bestFit="1" customWidth="1"/>
    <col min="2" max="2" width="25.875" style="15" bestFit="1" customWidth="1"/>
    <col min="3" max="3" width="10.375" style="27" bestFit="1" customWidth="1"/>
    <col min="4" max="4" width="9.375" style="27" bestFit="1" customWidth="1"/>
    <col min="5" max="6" width="10.375" style="27" bestFit="1" customWidth="1"/>
    <col min="7" max="7" width="9.375" style="27" bestFit="1" customWidth="1"/>
    <col min="8" max="9" width="10.375" style="27" bestFit="1" customWidth="1"/>
    <col min="10" max="10" width="9.375" style="27" bestFit="1" customWidth="1"/>
    <col min="11" max="12" width="10.375" style="27" bestFit="1" customWidth="1"/>
    <col min="13" max="13" width="8.125" style="27" bestFit="1" customWidth="1"/>
    <col min="14" max="15" width="10.375" style="27" bestFit="1" customWidth="1"/>
    <col min="16" max="16" width="8.125" style="27" bestFit="1" customWidth="1"/>
    <col min="17" max="18" width="10.375" style="27" bestFit="1" customWidth="1"/>
    <col min="19" max="19" width="8.125" style="27" bestFit="1" customWidth="1"/>
    <col min="20" max="20" width="10.375" style="27" bestFit="1" customWidth="1"/>
    <col min="21" max="257" width="9.125" style="27" bestFit="1" customWidth="1"/>
  </cols>
  <sheetData>
    <row r="1" spans="13:20" ht="15.6">
      <c r="M1" s="26"/>
      <c r="N1" s="26"/>
      <c r="P1" s="26"/>
      <c r="Q1" s="26"/>
      <c r="S1" s="26" t="s">
        <v>40</v>
      </c>
      <c r="T1" s="26"/>
    </row>
    <row r="3" spans="1:8" ht="45.75" customHeight="1">
      <c r="A3" s="28" t="s">
        <v>41</v>
      </c>
      <c r="B3" s="28"/>
      <c r="C3" s="28"/>
      <c r="D3" s="28"/>
      <c r="E3" s="28"/>
      <c r="F3" s="28"/>
      <c r="G3" s="28"/>
      <c r="H3" s="28"/>
    </row>
    <row r="4" spans="8:20" ht="15.6">
      <c r="H4" s="29"/>
      <c r="Q4" s="29"/>
      <c r="T4" s="29" t="s">
        <v>2</v>
      </c>
    </row>
    <row r="5" spans="1:20" ht="47.25" customHeight="1">
      <c r="A5" s="30" t="s">
        <v>42</v>
      </c>
      <c r="B5" s="30" t="s">
        <v>43</v>
      </c>
      <c r="C5" s="31" t="str">
        <f>'Додаток 1'!B5</f>
        <v xml:space="preserve">2021 рік¹</v>
      </c>
      <c r="D5" s="32"/>
      <c r="E5" s="33"/>
      <c r="F5" s="31" t="s">
        <v>44</v>
      </c>
      <c r="G5" s="32"/>
      <c r="H5" s="33"/>
      <c r="I5" s="31" t="s">
        <v>45</v>
      </c>
      <c r="J5" s="32"/>
      <c r="K5" s="33"/>
      <c r="L5" s="31" t="s">
        <v>46</v>
      </c>
      <c r="M5" s="32"/>
      <c r="N5" s="33"/>
      <c r="O5" s="31" t="s">
        <v>47</v>
      </c>
      <c r="P5" s="32"/>
      <c r="Q5" s="33"/>
      <c r="R5" s="31" t="s">
        <v>48</v>
      </c>
      <c r="S5" s="32"/>
      <c r="T5" s="33"/>
    </row>
    <row r="6" spans="1:20" ht="15.6">
      <c r="A6" s="34"/>
      <c r="B6" s="34"/>
      <c r="C6" s="35" t="s">
        <v>49</v>
      </c>
      <c r="D6" s="35" t="s">
        <v>50</v>
      </c>
      <c r="E6" s="35" t="s">
        <v>51</v>
      </c>
      <c r="F6" s="35" t="s">
        <v>49</v>
      </c>
      <c r="G6" s="35" t="s">
        <v>50</v>
      </c>
      <c r="H6" s="35" t="s">
        <v>51</v>
      </c>
      <c r="I6" s="35" t="s">
        <v>49</v>
      </c>
      <c r="J6" s="35" t="s">
        <v>50</v>
      </c>
      <c r="K6" s="35" t="s">
        <v>51</v>
      </c>
      <c r="L6" s="35" t="s">
        <v>49</v>
      </c>
      <c r="M6" s="35" t="s">
        <v>50</v>
      </c>
      <c r="N6" s="35" t="s">
        <v>51</v>
      </c>
      <c r="O6" s="35" t="s">
        <v>49</v>
      </c>
      <c r="P6" s="35" t="s">
        <v>50</v>
      </c>
      <c r="Q6" s="35" t="s">
        <v>51</v>
      </c>
      <c r="R6" s="35" t="s">
        <v>49</v>
      </c>
      <c r="S6" s="35" t="s">
        <v>50</v>
      </c>
      <c r="T6" s="35" t="s">
        <v>51</v>
      </c>
    </row>
    <row r="7" spans="1:20" ht="15.6">
      <c r="A7" s="36" t="s">
        <v>52</v>
      </c>
      <c r="B7" s="37" t="s">
        <v>53</v>
      </c>
      <c r="C7" s="38">
        <v>25856777.64</v>
      </c>
      <c r="D7" s="38">
        <v>1491945.03</v>
      </c>
      <c r="E7" s="38">
        <f aca="true" t="shared" si="0" ref="E7:E17">C7+D7</f>
        <v>27348722.67</v>
      </c>
      <c r="F7" s="38">
        <v>22349148.05</v>
      </c>
      <c r="G7" s="38">
        <v>4847463.75</v>
      </c>
      <c r="H7" s="38">
        <f aca="true" t="shared" si="1" ref="H7:H16">F7+G7</f>
        <v>27196611.8</v>
      </c>
      <c r="I7" s="38">
        <v>27510979</v>
      </c>
      <c r="J7" s="39">
        <v>8984107.8</v>
      </c>
      <c r="K7" s="38">
        <f aca="true" t="shared" si="2" ref="K7:K16">I7+J7</f>
        <v>36495086.8</v>
      </c>
      <c r="L7" s="38">
        <v>24328420</v>
      </c>
      <c r="M7" s="39"/>
      <c r="N7" s="38">
        <f aca="true" t="shared" si="3" ref="N7:N16">L7+M7</f>
        <v>24328420</v>
      </c>
      <c r="O7" s="38">
        <f>L7*1.1</f>
        <v>26761262.000000004</v>
      </c>
      <c r="P7" s="38">
        <f>M7</f>
        <v>0</v>
      </c>
      <c r="Q7" s="38">
        <f aca="true" t="shared" si="4" ref="Q7:Q16">O7+P7</f>
        <v>26761262.000000004</v>
      </c>
      <c r="R7" s="38">
        <f>O7*1.1</f>
        <v>29437388.200000007</v>
      </c>
      <c r="S7" s="38">
        <f aca="true" t="shared" si="5" ref="S7:S16">P7</f>
        <v>0</v>
      </c>
      <c r="T7" s="38">
        <f aca="true" t="shared" si="6" ref="T7:T16">R7+S7</f>
        <v>29437388.200000007</v>
      </c>
    </row>
    <row r="8" spans="1:20" ht="15.6">
      <c r="A8" s="36" t="s">
        <v>54</v>
      </c>
      <c r="B8" s="37" t="s">
        <v>55</v>
      </c>
      <c r="C8" s="38">
        <v>146057014.76</v>
      </c>
      <c r="D8" s="38">
        <v>3992125.27</v>
      </c>
      <c r="E8" s="38">
        <f t="shared" si="0"/>
        <v>150049140.03000006</v>
      </c>
      <c r="F8" s="38">
        <v>145244795.33</v>
      </c>
      <c r="G8" s="38">
        <v>4972259.52</v>
      </c>
      <c r="H8" s="38">
        <f t="shared" si="1"/>
        <v>150217054.85000002</v>
      </c>
      <c r="I8" s="38">
        <v>158842868.98</v>
      </c>
      <c r="J8" s="38">
        <v>13605081.07</v>
      </c>
      <c r="K8" s="38">
        <f t="shared" si="2"/>
        <v>172447950.04999998</v>
      </c>
      <c r="L8" s="38">
        <v>148238400</v>
      </c>
      <c r="M8" s="38">
        <v>2937789</v>
      </c>
      <c r="N8" s="38">
        <f t="shared" si="3"/>
        <v>151176189</v>
      </c>
      <c r="O8" s="38">
        <f>'Додаток 3.1'!O8-1384900-2050180</f>
        <v>153982520</v>
      </c>
      <c r="P8" s="38">
        <f>M8-44346</f>
        <v>2893443</v>
      </c>
      <c r="Q8" s="38">
        <f t="shared" si="4"/>
        <v>156875963</v>
      </c>
      <c r="R8" s="38">
        <f>'Додаток 3.1'!R8-1523390-2255198</f>
        <v>161889012</v>
      </c>
      <c r="S8" s="38">
        <f t="shared" si="5"/>
        <v>2893443</v>
      </c>
      <c r="T8" s="38">
        <f t="shared" si="6"/>
        <v>164782455</v>
      </c>
    </row>
    <row r="9" spans="1:20" ht="15.6">
      <c r="A9" s="36" t="s">
        <v>56</v>
      </c>
      <c r="B9" s="37" t="s">
        <v>57</v>
      </c>
      <c r="C9" s="38">
        <v>5070147.21</v>
      </c>
      <c r="D9" s="38">
        <v>257508</v>
      </c>
      <c r="E9" s="38">
        <f t="shared" si="0"/>
        <v>5327655.21</v>
      </c>
      <c r="F9" s="38">
        <v>3520843.18</v>
      </c>
      <c r="G9" s="38">
        <v>43000</v>
      </c>
      <c r="H9" s="38">
        <f t="shared" si="1"/>
        <v>3563843.18</v>
      </c>
      <c r="I9" s="38">
        <v>9388790</v>
      </c>
      <c r="J9" s="38">
        <v>1098050</v>
      </c>
      <c r="K9" s="38">
        <f t="shared" si="2"/>
        <v>10486840</v>
      </c>
      <c r="L9" s="38">
        <v>5934080</v>
      </c>
      <c r="M9" s="38"/>
      <c r="N9" s="38">
        <f t="shared" si="3"/>
        <v>5934080</v>
      </c>
      <c r="O9" s="38">
        <f>L9-200000-189330</f>
        <v>5544750</v>
      </c>
      <c r="P9" s="38">
        <f aca="true" t="shared" si="7" ref="P9:P16">M9</f>
        <v>0</v>
      </c>
      <c r="Q9" s="38">
        <f t="shared" si="4"/>
        <v>5544750</v>
      </c>
      <c r="R9" s="38">
        <f>O9*1.1+28000</f>
        <v>6127225.000000001</v>
      </c>
      <c r="S9" s="38">
        <f t="shared" si="5"/>
        <v>0</v>
      </c>
      <c r="T9" s="38">
        <f t="shared" si="6"/>
        <v>6127225.000000001</v>
      </c>
    </row>
    <row r="10" spans="1:20" ht="30">
      <c r="A10" s="36" t="s">
        <v>58</v>
      </c>
      <c r="B10" s="40" t="s">
        <v>59</v>
      </c>
      <c r="C10" s="38">
        <v>13720397.94</v>
      </c>
      <c r="D10" s="38">
        <v>1469544.44</v>
      </c>
      <c r="E10" s="38">
        <f t="shared" si="0"/>
        <v>15189942.379999997</v>
      </c>
      <c r="F10" s="38">
        <v>14604362.3</v>
      </c>
      <c r="G10" s="38">
        <v>4614298.73</v>
      </c>
      <c r="H10" s="38">
        <f t="shared" si="1"/>
        <v>19218661.03</v>
      </c>
      <c r="I10" s="38">
        <v>18042222</v>
      </c>
      <c r="J10" s="38">
        <v>4045576.7</v>
      </c>
      <c r="K10" s="38">
        <f t="shared" si="2"/>
        <v>22087798.7</v>
      </c>
      <c r="L10" s="38">
        <v>14964700</v>
      </c>
      <c r="M10" s="38">
        <v>1050700</v>
      </c>
      <c r="N10" s="38">
        <f t="shared" si="3"/>
        <v>16015400</v>
      </c>
      <c r="O10" s="38">
        <f>L10-600000</f>
        <v>14364700</v>
      </c>
      <c r="P10" s="38">
        <f t="shared" si="7"/>
        <v>1050700</v>
      </c>
      <c r="Q10" s="38">
        <f t="shared" si="4"/>
        <v>15415400</v>
      </c>
      <c r="R10" s="38">
        <f>O10*1.1+50000</f>
        <v>15851170.000000002</v>
      </c>
      <c r="S10" s="38">
        <f t="shared" si="5"/>
        <v>1050700</v>
      </c>
      <c r="T10" s="38">
        <f t="shared" si="6"/>
        <v>16901870</v>
      </c>
    </row>
    <row r="11" spans="1:20" ht="15.6">
      <c r="A11" s="36" t="s">
        <v>60</v>
      </c>
      <c r="B11" s="40" t="s">
        <v>61</v>
      </c>
      <c r="C11" s="38">
        <v>16491923.61</v>
      </c>
      <c r="D11" s="38">
        <v>701461.13</v>
      </c>
      <c r="E11" s="38">
        <f t="shared" si="0"/>
        <v>17193384.740000002</v>
      </c>
      <c r="F11" s="38">
        <v>13678343.84</v>
      </c>
      <c r="G11" s="38">
        <v>159924.47</v>
      </c>
      <c r="H11" s="38">
        <f t="shared" si="1"/>
        <v>13838268.31</v>
      </c>
      <c r="I11" s="38">
        <v>17310180</v>
      </c>
      <c r="J11" s="38">
        <v>1596887.07</v>
      </c>
      <c r="K11" s="38">
        <f t="shared" si="2"/>
        <v>18907067.07</v>
      </c>
      <c r="L11" s="38">
        <v>13653000</v>
      </c>
      <c r="M11" s="38">
        <v>269000</v>
      </c>
      <c r="N11" s="38">
        <f t="shared" si="3"/>
        <v>13922000</v>
      </c>
      <c r="O11" s="38">
        <f>15400000-755000</f>
        <v>14645000</v>
      </c>
      <c r="P11" s="38">
        <f t="shared" si="7"/>
        <v>269000</v>
      </c>
      <c r="Q11" s="38">
        <f t="shared" si="4"/>
        <v>14914000</v>
      </c>
      <c r="R11" s="38">
        <v>16110000</v>
      </c>
      <c r="S11" s="38">
        <f t="shared" si="5"/>
        <v>269000</v>
      </c>
      <c r="T11" s="38">
        <f t="shared" si="6"/>
        <v>16379000</v>
      </c>
    </row>
    <row r="12" spans="1:20" ht="31.5" customHeight="1">
      <c r="A12" s="36" t="s">
        <v>62</v>
      </c>
      <c r="B12" s="41" t="s">
        <v>63</v>
      </c>
      <c r="C12" s="38">
        <v>2109242.7</v>
      </c>
      <c r="D12" s="38">
        <v>10254.63</v>
      </c>
      <c r="E12" s="38">
        <f t="shared" si="0"/>
        <v>2119497.33</v>
      </c>
      <c r="F12" s="38">
        <v>1916744.01</v>
      </c>
      <c r="G12" s="38">
        <v>918</v>
      </c>
      <c r="H12" s="38">
        <f t="shared" si="1"/>
        <v>1917662.01</v>
      </c>
      <c r="I12" s="38">
        <v>2743721</v>
      </c>
      <c r="J12" s="38">
        <v>723.6</v>
      </c>
      <c r="K12" s="38">
        <f t="shared" si="2"/>
        <v>2744444.6</v>
      </c>
      <c r="L12" s="38">
        <v>1938800</v>
      </c>
      <c r="M12" s="38"/>
      <c r="N12" s="38">
        <f t="shared" si="3"/>
        <v>1938800</v>
      </c>
      <c r="O12" s="38">
        <f>85000+2050180</f>
        <v>2135180</v>
      </c>
      <c r="P12" s="38">
        <f t="shared" si="7"/>
        <v>0</v>
      </c>
      <c r="Q12" s="38">
        <f t="shared" si="4"/>
        <v>2135180</v>
      </c>
      <c r="R12" s="38">
        <f>85000+2255198</f>
        <v>2340198</v>
      </c>
      <c r="S12" s="38">
        <f t="shared" si="5"/>
        <v>0</v>
      </c>
      <c r="T12" s="38">
        <f t="shared" si="6"/>
        <v>2340198</v>
      </c>
    </row>
    <row r="13" spans="1:20" ht="30.75" customHeight="1">
      <c r="A13" s="36" t="s">
        <v>64</v>
      </c>
      <c r="B13" s="37" t="s">
        <v>65</v>
      </c>
      <c r="C13" s="38">
        <v>11456066.69</v>
      </c>
      <c r="D13" s="38">
        <v>2561631.42</v>
      </c>
      <c r="E13" s="38">
        <f t="shared" si="0"/>
        <v>14017698.11</v>
      </c>
      <c r="F13" s="38">
        <v>9054666.3</v>
      </c>
      <c r="G13" s="38">
        <v>933397.18</v>
      </c>
      <c r="H13" s="38">
        <f t="shared" si="1"/>
        <v>9988063.48</v>
      </c>
      <c r="I13" s="38">
        <v>13835550</v>
      </c>
      <c r="J13" s="38">
        <v>7212197.1</v>
      </c>
      <c r="K13" s="38">
        <f t="shared" si="2"/>
        <v>21047747.1</v>
      </c>
      <c r="L13" s="38">
        <v>9262300</v>
      </c>
      <c r="M13" s="38"/>
      <c r="N13" s="38">
        <f t="shared" si="3"/>
        <v>9262300</v>
      </c>
      <c r="O13" s="38">
        <f>L13*1.1-4000000+1616858</f>
        <v>7805388</v>
      </c>
      <c r="P13" s="38">
        <f t="shared" si="7"/>
        <v>0</v>
      </c>
      <c r="Q13" s="38">
        <f t="shared" si="4"/>
        <v>7805388</v>
      </c>
      <c r="R13" s="38">
        <f>O13*1.1-82500</f>
        <v>8503426.8</v>
      </c>
      <c r="S13" s="38">
        <f t="shared" si="5"/>
        <v>0</v>
      </c>
      <c r="T13" s="38">
        <f t="shared" si="6"/>
        <v>8503426.8</v>
      </c>
    </row>
    <row r="14" spans="1:20" ht="15.6">
      <c r="A14" s="36" t="s">
        <v>66</v>
      </c>
      <c r="B14" s="37" t="s">
        <v>67</v>
      </c>
      <c r="C14" s="38">
        <v>2684709.79</v>
      </c>
      <c r="D14" s="38">
        <v>6366390.21</v>
      </c>
      <c r="E14" s="38">
        <f t="shared" si="0"/>
        <v>9051100</v>
      </c>
      <c r="F14" s="38">
        <v>1891551.1</v>
      </c>
      <c r="G14" s="38">
        <v>1420420.38</v>
      </c>
      <c r="H14" s="38">
        <f t="shared" si="1"/>
        <v>3311971.48</v>
      </c>
      <c r="I14" s="38">
        <v>8894992</v>
      </c>
      <c r="J14" s="38">
        <v>32554133.55</v>
      </c>
      <c r="K14" s="38">
        <f t="shared" si="2"/>
        <v>41449125.55</v>
      </c>
      <c r="L14" s="38">
        <v>6745000</v>
      </c>
      <c r="M14" s="38">
        <v>120000</v>
      </c>
      <c r="N14" s="38">
        <f t="shared" si="3"/>
        <v>6865000</v>
      </c>
      <c r="O14" s="38">
        <f>L14*1.1</f>
        <v>7419500.000000001</v>
      </c>
      <c r="P14" s="38">
        <f t="shared" si="7"/>
        <v>120000</v>
      </c>
      <c r="Q14" s="38">
        <f t="shared" si="4"/>
        <v>7539500.000000001</v>
      </c>
      <c r="R14" s="38">
        <f aca="true" t="shared" si="8" ref="R14:R16">O14*1.1</f>
        <v>8161450.000000002</v>
      </c>
      <c r="S14" s="38">
        <f t="shared" si="5"/>
        <v>120000</v>
      </c>
      <c r="T14" s="38">
        <f t="shared" si="6"/>
        <v>8281450.000000002</v>
      </c>
    </row>
    <row r="15" spans="1:20" ht="15.6">
      <c r="A15" s="42" t="s">
        <v>68</v>
      </c>
      <c r="B15" s="41" t="s">
        <v>69</v>
      </c>
      <c r="C15" s="38">
        <v>3355318.86</v>
      </c>
      <c r="D15" s="38">
        <v>283520.47</v>
      </c>
      <c r="E15" s="38">
        <f t="shared" si="0"/>
        <v>3638839.33</v>
      </c>
      <c r="F15" s="38">
        <v>7329791.56</v>
      </c>
      <c r="G15" s="38">
        <v>4956.4</v>
      </c>
      <c r="H15" s="38">
        <f t="shared" si="1"/>
        <v>7334747.96</v>
      </c>
      <c r="I15" s="38">
        <v>19129858</v>
      </c>
      <c r="J15" s="38">
        <v>8815185.35</v>
      </c>
      <c r="K15" s="38">
        <f t="shared" si="2"/>
        <v>27945043.35</v>
      </c>
      <c r="L15" s="38">
        <v>8782700</v>
      </c>
      <c r="M15" s="38"/>
      <c r="N15" s="38">
        <f t="shared" si="3"/>
        <v>8782700</v>
      </c>
      <c r="O15" s="38">
        <f>L15</f>
        <v>8782700</v>
      </c>
      <c r="P15" s="38">
        <f t="shared" si="7"/>
        <v>0</v>
      </c>
      <c r="Q15" s="38">
        <f t="shared" si="4"/>
        <v>8782700</v>
      </c>
      <c r="R15" s="38">
        <f t="shared" si="8"/>
        <v>9660970</v>
      </c>
      <c r="S15" s="38">
        <f t="shared" si="5"/>
        <v>0</v>
      </c>
      <c r="T15" s="38">
        <f t="shared" si="6"/>
        <v>9660970</v>
      </c>
    </row>
    <row r="16" spans="1:20" ht="30">
      <c r="A16" s="42" t="s">
        <v>70</v>
      </c>
      <c r="B16" s="41" t="s">
        <v>71</v>
      </c>
      <c r="C16" s="38">
        <v>3380225.73</v>
      </c>
      <c r="D16" s="38"/>
      <c r="E16" s="38">
        <f t="shared" si="0"/>
        <v>3380225.73</v>
      </c>
      <c r="F16" s="38">
        <v>3346933.07</v>
      </c>
      <c r="G16" s="38"/>
      <c r="H16" s="38">
        <f t="shared" si="1"/>
        <v>3346933.07</v>
      </c>
      <c r="I16" s="38">
        <v>4395031.1</v>
      </c>
      <c r="J16" s="38">
        <v>750000</v>
      </c>
      <c r="K16" s="38">
        <f t="shared" si="2"/>
        <v>5145031.1</v>
      </c>
      <c r="L16" s="38">
        <v>3856000</v>
      </c>
      <c r="M16" s="38"/>
      <c r="N16" s="38">
        <f t="shared" si="3"/>
        <v>3856000</v>
      </c>
      <c r="O16" s="38">
        <f>L16*1.1</f>
        <v>4241600</v>
      </c>
      <c r="P16" s="38">
        <f t="shared" si="7"/>
        <v>0</v>
      </c>
      <c r="Q16" s="38">
        <f t="shared" si="4"/>
        <v>4241600</v>
      </c>
      <c r="R16" s="38">
        <f t="shared" si="8"/>
        <v>4665760</v>
      </c>
      <c r="S16" s="38">
        <f t="shared" si="5"/>
        <v>0</v>
      </c>
      <c r="T16" s="38">
        <f t="shared" si="6"/>
        <v>4665760</v>
      </c>
    </row>
    <row r="17" spans="1:20" ht="15.6">
      <c r="A17" s="43" t="s">
        <v>72</v>
      </c>
      <c r="B17" s="44"/>
      <c r="C17" s="38">
        <v>230181824.93</v>
      </c>
      <c r="D17" s="38">
        <v>17134380.6</v>
      </c>
      <c r="E17" s="38">
        <f t="shared" si="0"/>
        <v>247316205.5300001</v>
      </c>
      <c r="F17" s="38">
        <f>SUM(F7:F16)</f>
        <v>222937178.74000004</v>
      </c>
      <c r="G17" s="38">
        <f>SUM(G7:G16)</f>
        <v>16996638.43</v>
      </c>
      <c r="H17" s="38">
        <f>SUM(H7:H16)</f>
        <v>239933817.17000002</v>
      </c>
      <c r="I17" s="38">
        <f>SUM(I7:I16)</f>
        <v>280094192.08000004</v>
      </c>
      <c r="J17" s="38">
        <f aca="true" t="shared" si="9" ref="J17:T17">SUM(J7:J16)</f>
        <v>78661942.24</v>
      </c>
      <c r="K17" s="38">
        <f t="shared" si="9"/>
        <v>358756134.32</v>
      </c>
      <c r="L17" s="38">
        <f t="shared" si="9"/>
        <v>237703400</v>
      </c>
      <c r="M17" s="38">
        <f t="shared" si="9"/>
        <v>4377489</v>
      </c>
      <c r="N17" s="38">
        <f t="shared" si="9"/>
        <v>242080889</v>
      </c>
      <c r="O17" s="38">
        <f>SUM(O7:O16)</f>
        <v>245682600</v>
      </c>
      <c r="P17" s="38">
        <f t="shared" si="9"/>
        <v>4333143</v>
      </c>
      <c r="Q17" s="38">
        <f t="shared" si="9"/>
        <v>250015743</v>
      </c>
      <c r="R17" s="38">
        <f t="shared" si="9"/>
        <v>262746600.00000003</v>
      </c>
      <c r="S17" s="38">
        <f t="shared" si="9"/>
        <v>4333143</v>
      </c>
      <c r="T17" s="38">
        <f t="shared" si="9"/>
        <v>267079743.00000003</v>
      </c>
    </row>
    <row r="18" spans="1:20" ht="15.6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6" s="1" customFormat="1" ht="14.25" customHeight="1">
      <c r="A19" s="15" t="s">
        <v>19</v>
      </c>
      <c r="B19" s="15"/>
      <c r="C19" s="15"/>
      <c r="D19" s="15"/>
      <c r="E19" s="15"/>
      <c r="F19" s="14"/>
    </row>
    <row r="20" spans="1:6" s="1" customFormat="1" ht="14.25" customHeight="1">
      <c r="A20" s="15" t="s">
        <v>39</v>
      </c>
      <c r="B20" s="15"/>
      <c r="C20" s="15"/>
      <c r="D20" s="15"/>
      <c r="E20" s="15"/>
      <c r="F20" s="15"/>
    </row>
    <row r="21" spans="1:6" s="1" customFormat="1" ht="18.75" customHeight="1">
      <c r="A21" s="16" t="s">
        <v>21</v>
      </c>
      <c r="B21" s="16"/>
      <c r="C21" s="16"/>
      <c r="D21" s="16"/>
      <c r="E21" s="16"/>
      <c r="F21" s="16"/>
    </row>
    <row r="22" s="1" customFormat="1" ht="15">
      <c r="A22" s="17" t="s">
        <v>22</v>
      </c>
    </row>
    <row r="23" spans="1:6" s="1" customFormat="1" ht="17.25">
      <c r="A23" s="1" t="s">
        <v>23</v>
      </c>
      <c r="C23" s="4"/>
      <c r="D23" s="4"/>
      <c r="E23" s="4"/>
      <c r="F23" s="4"/>
    </row>
    <row r="24" spans="1:6" s="1" customFormat="1" ht="17.25">
      <c r="A24" s="1" t="s">
        <v>24</v>
      </c>
      <c r="C24" s="4"/>
      <c r="D24" s="4"/>
      <c r="E24" s="4"/>
      <c r="F24" s="4"/>
    </row>
    <row r="25" spans="3:8" ht="15.6">
      <c r="C25" s="48"/>
      <c r="D25" s="48"/>
      <c r="E25" s="48"/>
      <c r="F25" s="48"/>
      <c r="G25" s="48"/>
      <c r="H25" s="48"/>
    </row>
    <row r="26" spans="2:20" ht="15.6">
      <c r="B26" s="15" t="s">
        <v>73</v>
      </c>
      <c r="C26" s="48">
        <f>C17-'Додаток 1'!B8</f>
        <v>0</v>
      </c>
      <c r="D26" s="48">
        <f>D17-'Додаток 1'!B15</f>
        <v>0</v>
      </c>
      <c r="E26" s="48">
        <f>'Додаток 1'!B22-'Додаток 3 '!E17</f>
        <v>0</v>
      </c>
      <c r="F26" s="48">
        <f>F17-'Додаток 1'!C8</f>
        <v>0</v>
      </c>
      <c r="G26" s="48">
        <f>G17-'Додаток 1'!C15</f>
        <v>0</v>
      </c>
      <c r="H26" s="48">
        <f>H17-'Додаток 1'!C22</f>
        <v>0</v>
      </c>
      <c r="I26" s="49">
        <f>I17-'Додаток 1'!D8</f>
        <v>0</v>
      </c>
      <c r="J26" s="49">
        <f>J17-'Додаток 1'!D15</f>
        <v>0</v>
      </c>
      <c r="K26" s="49">
        <f>K17-'Додаток 1'!D22</f>
        <v>0</v>
      </c>
      <c r="L26" s="49">
        <f>L17-'Додаток 1'!E8</f>
        <v>0</v>
      </c>
      <c r="M26" s="49">
        <f>M17-'Додаток 1'!E15</f>
        <v>0</v>
      </c>
      <c r="N26" s="49">
        <f>N17-'Додаток 1'!E22</f>
        <v>0</v>
      </c>
      <c r="O26" s="49">
        <f>O17-'Додаток 1'!F8</f>
        <v>0</v>
      </c>
      <c r="P26" s="49">
        <f>P17-'Додаток 1'!F15</f>
        <v>0</v>
      </c>
      <c r="Q26" s="49">
        <f>Q17-'Додаток 1'!F22</f>
        <v>0</v>
      </c>
      <c r="R26" s="49">
        <f>R17-'Додаток 1'!G8</f>
        <v>0</v>
      </c>
      <c r="S26" s="49">
        <f>S17-'Додаток 1'!G15</f>
        <v>0</v>
      </c>
      <c r="T26" s="49">
        <f>T17-'Додаток 1'!G22</f>
        <v>0</v>
      </c>
    </row>
  </sheetData>
  <mergeCells count="15">
    <mergeCell ref="M1:N1"/>
    <mergeCell ref="P1:Q1"/>
    <mergeCell ref="S1:T1"/>
    <mergeCell ref="A3:H3"/>
    <mergeCell ref="A5:A6"/>
    <mergeCell ref="B5:B6"/>
    <mergeCell ref="C5:E5"/>
    <mergeCell ref="F5:H5"/>
    <mergeCell ref="I5:K5"/>
    <mergeCell ref="L5:N5"/>
    <mergeCell ref="O5:Q5"/>
    <mergeCell ref="R5:T5"/>
    <mergeCell ref="A19:E19"/>
    <mergeCell ref="A20:E20"/>
    <mergeCell ref="A21:E21"/>
  </mergeCells>
  <printOptions/>
  <pageMargins left="0.7874019999999998" right="0.3937009999999999" top="0.3937009999999999" bottom="0.3937009999999999" header="0.511811" footer="0.511811"/>
  <pageSetup fitToHeight="1" fitToWidth="1" horizontalDpi="300" verticalDpi="300" orientation="landscape" paperSize="9" scale="63" copies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1:T21"/>
  <sheetViews>
    <sheetView tabSelected="1" zoomScale="60" zoomScaleNormal="60" workbookViewId="0" topLeftCell="A1">
      <pane xSplit="2" ySplit="4" topLeftCell="C5" activePane="bottomRight" state="frozen"/>
      <selection pane="topLeft" activeCell="H16" sqref="H16"/>
    </sheetView>
  </sheetViews>
  <sheetFormatPr defaultColWidth="9.125" defaultRowHeight="15" customHeight="1"/>
  <cols>
    <col min="1" max="1" width="13.125" style="50" bestFit="1" customWidth="1"/>
    <col min="2" max="2" width="25.875" style="51" bestFit="1" customWidth="1"/>
    <col min="3" max="3" width="12.375" style="52" bestFit="1" customWidth="1"/>
    <col min="4" max="4" width="11.125" style="52" bestFit="1" customWidth="1"/>
    <col min="5" max="6" width="12.375" style="52" bestFit="1" customWidth="1"/>
    <col min="7" max="7" width="11.125" style="52" bestFit="1" customWidth="1"/>
    <col min="8" max="9" width="12.375" style="52" bestFit="1" customWidth="1"/>
    <col min="10" max="10" width="11.125" style="52" bestFit="1" customWidth="1"/>
    <col min="11" max="12" width="12.375" style="52" bestFit="1" customWidth="1"/>
    <col min="13" max="13" width="9.875" style="52" bestFit="1" customWidth="1"/>
    <col min="14" max="15" width="12.375" style="52" bestFit="1" customWidth="1"/>
    <col min="16" max="16" width="9.875" style="52" bestFit="1" customWidth="1"/>
    <col min="17" max="18" width="12.375" style="52" bestFit="1" customWidth="1"/>
    <col min="19" max="19" width="9.875" style="52" bestFit="1" customWidth="1"/>
    <col min="20" max="20" width="12.375" style="52" bestFit="1" customWidth="1"/>
    <col min="21" max="257" width="9.125" style="52" bestFit="1" customWidth="1"/>
  </cols>
  <sheetData>
    <row r="1" spans="13:20" ht="15.6">
      <c r="M1" s="52"/>
      <c r="N1" s="52"/>
      <c r="P1" s="52"/>
      <c r="Q1" s="52"/>
      <c r="S1" s="52" t="s">
        <v>74</v>
      </c>
      <c r="T1" s="52"/>
    </row>
    <row r="3" spans="1:8" ht="45.75" customHeight="1">
      <c r="A3" s="53" t="s">
        <v>75</v>
      </c>
      <c r="B3" s="53"/>
      <c r="C3" s="53"/>
      <c r="D3" s="53"/>
      <c r="E3" s="53"/>
      <c r="F3" s="53"/>
      <c r="G3" s="53"/>
      <c r="H3" s="53"/>
    </row>
    <row r="4" ht="15.6">
      <c r="T4" s="52" t="s">
        <v>2</v>
      </c>
    </row>
    <row r="5" spans="1:20" s="50" customFormat="1" ht="47.25" customHeight="1">
      <c r="A5" s="30" t="s">
        <v>76</v>
      </c>
      <c r="B5" s="30" t="s">
        <v>43</v>
      </c>
      <c r="C5" s="31" t="str">
        <f>'Додаток 1'!B5</f>
        <v xml:space="preserve">2021 рік¹</v>
      </c>
      <c r="D5" s="32"/>
      <c r="E5" s="33"/>
      <c r="F5" s="31" t="s">
        <v>77</v>
      </c>
      <c r="G5" s="32"/>
      <c r="H5" s="33"/>
      <c r="I5" s="31" t="s">
        <v>78</v>
      </c>
      <c r="J5" s="32"/>
      <c r="K5" s="33"/>
      <c r="L5" s="31" t="s">
        <v>79</v>
      </c>
      <c r="M5" s="32"/>
      <c r="N5" s="33"/>
      <c r="O5" s="31" t="s">
        <v>47</v>
      </c>
      <c r="P5" s="32"/>
      <c r="Q5" s="33"/>
      <c r="R5" s="31" t="s">
        <v>48</v>
      </c>
      <c r="S5" s="32"/>
      <c r="T5" s="33"/>
    </row>
    <row r="6" spans="1:20" s="50" customFormat="1" ht="15">
      <c r="A6" s="34"/>
      <c r="B6" s="34"/>
      <c r="C6" s="35" t="s">
        <v>49</v>
      </c>
      <c r="D6" s="35" t="s">
        <v>50</v>
      </c>
      <c r="E6" s="35" t="s">
        <v>51</v>
      </c>
      <c r="F6" s="35" t="s">
        <v>49</v>
      </c>
      <c r="G6" s="35" t="s">
        <v>50</v>
      </c>
      <c r="H6" s="35" t="s">
        <v>51</v>
      </c>
      <c r="I6" s="35" t="s">
        <v>49</v>
      </c>
      <c r="J6" s="35" t="s">
        <v>50</v>
      </c>
      <c r="K6" s="35" t="s">
        <v>51</v>
      </c>
      <c r="L6" s="35" t="s">
        <v>49</v>
      </c>
      <c r="M6" s="35" t="s">
        <v>50</v>
      </c>
      <c r="N6" s="35" t="s">
        <v>51</v>
      </c>
      <c r="O6" s="35" t="s">
        <v>49</v>
      </c>
      <c r="P6" s="35" t="s">
        <v>50</v>
      </c>
      <c r="Q6" s="35" t="s">
        <v>51</v>
      </c>
      <c r="R6" s="35" t="s">
        <v>49</v>
      </c>
      <c r="S6" s="35" t="s">
        <v>50</v>
      </c>
      <c r="T6" s="35" t="s">
        <v>51</v>
      </c>
    </row>
    <row r="7" spans="1:20" ht="15.6">
      <c r="A7" s="36" t="s">
        <v>80</v>
      </c>
      <c r="B7" s="54" t="s">
        <v>81</v>
      </c>
      <c r="C7" s="55">
        <v>60210658.24</v>
      </c>
      <c r="D7" s="55">
        <v>12030779.17</v>
      </c>
      <c r="E7" s="55">
        <f aca="true" t="shared" si="0" ref="E7:E8">C7+D7</f>
        <v>72241437.41000001</v>
      </c>
      <c r="F7" s="56">
        <v>55709706.2</v>
      </c>
      <c r="G7" s="56">
        <v>11863536.44</v>
      </c>
      <c r="H7" s="55">
        <f aca="true" t="shared" si="1" ref="H7:H8">F7+G7</f>
        <v>67573242.64</v>
      </c>
      <c r="I7" s="56">
        <v>73794919.68</v>
      </c>
      <c r="J7" s="56">
        <v>52542196.74</v>
      </c>
      <c r="K7" s="55">
        <f aca="true" t="shared" si="2" ref="K7:K9">I7+J7</f>
        <v>126337116.42000002</v>
      </c>
      <c r="L7" s="56">
        <v>43940000</v>
      </c>
      <c r="M7" s="56">
        <v>120000</v>
      </c>
      <c r="N7" s="55">
        <f aca="true" t="shared" si="3" ref="N7:N9">L7+M7</f>
        <v>44060000</v>
      </c>
      <c r="O7" s="56">
        <v>44000000</v>
      </c>
      <c r="P7" s="56">
        <v>120000</v>
      </c>
      <c r="Q7" s="55">
        <f aca="true" t="shared" si="4" ref="Q7:Q9">O7+P7</f>
        <v>44120000</v>
      </c>
      <c r="R7" s="56">
        <v>48400000</v>
      </c>
      <c r="S7" s="56">
        <v>120000</v>
      </c>
      <c r="T7" s="55">
        <f aca="true" t="shared" si="5" ref="T7:T9">R7+S7</f>
        <v>48520000</v>
      </c>
    </row>
    <row r="8" spans="1:20" ht="30">
      <c r="A8" s="36" t="s">
        <v>82</v>
      </c>
      <c r="B8" s="54" t="s">
        <v>83</v>
      </c>
      <c r="C8" s="55">
        <v>148157876.21</v>
      </c>
      <c r="D8" s="55">
        <v>4105823.9</v>
      </c>
      <c r="E8" s="55">
        <f t="shared" si="0"/>
        <v>152263700.10999995</v>
      </c>
      <c r="F8" s="56">
        <v>148419026.26</v>
      </c>
      <c r="G8" s="56">
        <v>4973177.52</v>
      </c>
      <c r="H8" s="55">
        <f t="shared" si="1"/>
        <v>153392203.78</v>
      </c>
      <c r="I8" s="56">
        <v>162782791.98</v>
      </c>
      <c r="J8" s="56">
        <v>19625711.67</v>
      </c>
      <c r="K8" s="55">
        <f t="shared" si="2"/>
        <v>182408503.64999998</v>
      </c>
      <c r="L8" s="56">
        <v>151361200</v>
      </c>
      <c r="M8" s="56">
        <v>2937789</v>
      </c>
      <c r="N8" s="55">
        <f t="shared" si="3"/>
        <v>154298989</v>
      </c>
      <c r="O8" s="56">
        <v>157417600</v>
      </c>
      <c r="P8" s="56">
        <f>2937789-44346</f>
        <v>2893443</v>
      </c>
      <c r="Q8" s="55">
        <f t="shared" si="4"/>
        <v>160311043</v>
      </c>
      <c r="R8" s="56">
        <v>165667600</v>
      </c>
      <c r="S8" s="56">
        <v>2893443</v>
      </c>
      <c r="T8" s="55">
        <f t="shared" si="5"/>
        <v>168561043</v>
      </c>
    </row>
    <row r="9" spans="1:20" ht="75">
      <c r="A9" s="36" t="s">
        <v>84</v>
      </c>
      <c r="B9" s="54" t="s">
        <v>85</v>
      </c>
      <c r="C9" s="55"/>
      <c r="D9" s="55"/>
      <c r="E9" s="55"/>
      <c r="F9" s="56"/>
      <c r="G9" s="56"/>
      <c r="H9" s="55"/>
      <c r="I9" s="56">
        <v>18382120.32</v>
      </c>
      <c r="J9" s="56">
        <v>4147146.76</v>
      </c>
      <c r="K9" s="55">
        <f t="shared" si="2"/>
        <v>22529267.08</v>
      </c>
      <c r="L9" s="56">
        <v>21999280</v>
      </c>
      <c r="M9" s="56">
        <v>1050700</v>
      </c>
      <c r="N9" s="55">
        <f t="shared" si="3"/>
        <v>23049980</v>
      </c>
      <c r="O9" s="56">
        <v>21020000</v>
      </c>
      <c r="P9" s="56">
        <v>1050700</v>
      </c>
      <c r="Q9" s="55">
        <f t="shared" si="4"/>
        <v>22070700</v>
      </c>
      <c r="R9" s="56">
        <v>23110000</v>
      </c>
      <c r="S9" s="56">
        <v>1050700</v>
      </c>
      <c r="T9" s="55">
        <f t="shared" si="5"/>
        <v>24160700</v>
      </c>
    </row>
    <row r="10" spans="1:20" ht="30">
      <c r="A10" s="36" t="s">
        <v>86</v>
      </c>
      <c r="B10" s="54" t="s">
        <v>87</v>
      </c>
      <c r="C10" s="55">
        <v>17236441.88</v>
      </c>
      <c r="D10" s="55">
        <v>997777.53</v>
      </c>
      <c r="E10" s="55">
        <f aca="true" t="shared" si="6" ref="E10:E11">C10+D10</f>
        <v>18234219.41</v>
      </c>
      <c r="F10" s="56">
        <v>14380905.95</v>
      </c>
      <c r="G10" s="56">
        <v>159924.47</v>
      </c>
      <c r="H10" s="55">
        <f aca="true" t="shared" si="7" ref="H10:H11">F10+G10</f>
        <v>14540830.42</v>
      </c>
      <c r="I10" s="56">
        <v>18151200</v>
      </c>
      <c r="J10" s="56">
        <v>1596887.07</v>
      </c>
      <c r="K10" s="55">
        <f aca="true" t="shared" si="8" ref="K10:K11">I10+J10</f>
        <v>19748087.07</v>
      </c>
      <c r="L10" s="56">
        <v>14338640</v>
      </c>
      <c r="M10" s="56">
        <v>269000</v>
      </c>
      <c r="N10" s="55">
        <f aca="true" t="shared" si="9" ref="N10:N11">L10+M10</f>
        <v>14607640</v>
      </c>
      <c r="O10" s="56">
        <v>15400000</v>
      </c>
      <c r="P10" s="56">
        <v>269000</v>
      </c>
      <c r="Q10" s="55">
        <f aca="true" t="shared" si="10" ref="Q10:Q11">O10+P10</f>
        <v>15669000</v>
      </c>
      <c r="R10" s="56">
        <v>16940000</v>
      </c>
      <c r="S10" s="56">
        <v>269000</v>
      </c>
      <c r="T10" s="55">
        <f aca="true" t="shared" si="11" ref="T10:T11">R10+S10</f>
        <v>17209000</v>
      </c>
    </row>
    <row r="11" spans="1:20" ht="30">
      <c r="A11" s="36" t="s">
        <v>88</v>
      </c>
      <c r="B11" s="54" t="s">
        <v>89</v>
      </c>
      <c r="C11" s="55">
        <v>4576848.6</v>
      </c>
      <c r="D11" s="55"/>
      <c r="E11" s="55">
        <f t="shared" si="6"/>
        <v>4576848.6</v>
      </c>
      <c r="F11" s="56">
        <v>4427540.33</v>
      </c>
      <c r="G11" s="56"/>
      <c r="H11" s="55">
        <f t="shared" si="7"/>
        <v>4427540.33</v>
      </c>
      <c r="I11" s="56">
        <v>6983160.1</v>
      </c>
      <c r="J11" s="56">
        <v>750000</v>
      </c>
      <c r="K11" s="55">
        <f t="shared" si="8"/>
        <v>7733160.1</v>
      </c>
      <c r="L11" s="56">
        <v>6064280</v>
      </c>
      <c r="M11" s="56"/>
      <c r="N11" s="55">
        <f t="shared" si="9"/>
        <v>6064280</v>
      </c>
      <c r="O11" s="56">
        <v>7845000</v>
      </c>
      <c r="P11" s="56"/>
      <c r="Q11" s="55">
        <f t="shared" si="10"/>
        <v>7845000</v>
      </c>
      <c r="R11" s="56">
        <v>8629000</v>
      </c>
      <c r="S11" s="56"/>
      <c r="T11" s="55">
        <f t="shared" si="11"/>
        <v>8629000</v>
      </c>
    </row>
    <row r="12" spans="1:20" ht="15.6">
      <c r="A12" s="57" t="s">
        <v>90</v>
      </c>
      <c r="B12" s="58" t="s">
        <v>91</v>
      </c>
      <c r="C12" s="59">
        <f>SUM(C7:C11)</f>
        <v>230181824.92999995</v>
      </c>
      <c r="D12" s="59">
        <f aca="true" t="shared" si="12" ref="D12:T12">SUM(D7:D11)</f>
        <v>17134380.599999998</v>
      </c>
      <c r="E12" s="59">
        <f t="shared" si="12"/>
        <v>247316205.52999997</v>
      </c>
      <c r="F12" s="59">
        <f t="shared" si="12"/>
        <v>222937178.73999998</v>
      </c>
      <c r="G12" s="59">
        <f t="shared" si="12"/>
        <v>16996638.43</v>
      </c>
      <c r="H12" s="59">
        <f t="shared" si="12"/>
        <v>239933817.17000002</v>
      </c>
      <c r="I12" s="59">
        <f t="shared" si="12"/>
        <v>280094192.08000004</v>
      </c>
      <c r="J12" s="59">
        <f t="shared" si="12"/>
        <v>78661942.24</v>
      </c>
      <c r="K12" s="59">
        <f t="shared" si="12"/>
        <v>358756134.32</v>
      </c>
      <c r="L12" s="59">
        <f t="shared" si="12"/>
        <v>237703400</v>
      </c>
      <c r="M12" s="59">
        <f t="shared" si="12"/>
        <v>4377489</v>
      </c>
      <c r="N12" s="59">
        <f t="shared" si="12"/>
        <v>242080889</v>
      </c>
      <c r="O12" s="59">
        <f t="shared" si="12"/>
        <v>245682600</v>
      </c>
      <c r="P12" s="59">
        <f>SUM(P7:P11)</f>
        <v>4333143</v>
      </c>
      <c r="Q12" s="59">
        <f t="shared" si="12"/>
        <v>250015743</v>
      </c>
      <c r="R12" s="59">
        <f t="shared" si="12"/>
        <v>262746600</v>
      </c>
      <c r="S12" s="59">
        <f t="shared" si="12"/>
        <v>4333143</v>
      </c>
      <c r="T12" s="59">
        <f t="shared" si="12"/>
        <v>267079743</v>
      </c>
    </row>
    <row r="13" spans="1:20" ht="15.6">
      <c r="A13" s="50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6" s="1" customFormat="1" ht="14.25" customHeight="1">
      <c r="A14" s="15" t="s">
        <v>19</v>
      </c>
      <c r="B14" s="15"/>
      <c r="C14" s="15"/>
      <c r="D14" s="15"/>
      <c r="E14" s="15"/>
      <c r="F14" s="14"/>
    </row>
    <row r="15" spans="1:6" s="1" customFormat="1" ht="14.25" customHeight="1">
      <c r="A15" s="15" t="s">
        <v>39</v>
      </c>
      <c r="B15" s="15"/>
      <c r="C15" s="15"/>
      <c r="D15" s="15"/>
      <c r="E15" s="15"/>
      <c r="F15" s="15"/>
    </row>
    <row r="16" spans="1:6" s="1" customFormat="1" ht="18.75" customHeight="1">
      <c r="A16" s="16" t="s">
        <v>21</v>
      </c>
      <c r="B16" s="16"/>
      <c r="C16" s="16"/>
      <c r="D16" s="16"/>
      <c r="E16" s="16"/>
      <c r="F16" s="16"/>
    </row>
    <row r="17" s="1" customFormat="1" ht="15">
      <c r="A17" s="17" t="s">
        <v>22</v>
      </c>
    </row>
    <row r="18" spans="1:6" s="1" customFormat="1" ht="17.25">
      <c r="A18" s="1" t="s">
        <v>23</v>
      </c>
      <c r="C18" s="4"/>
      <c r="D18" s="4"/>
      <c r="E18" s="4"/>
      <c r="F18" s="4"/>
    </row>
    <row r="19" spans="1:6" s="1" customFormat="1" ht="17.25">
      <c r="A19" s="1" t="s">
        <v>24</v>
      </c>
      <c r="C19" s="4"/>
      <c r="D19" s="4"/>
      <c r="E19" s="4"/>
      <c r="F19" s="4"/>
    </row>
    <row r="20" spans="3:8" ht="15.6">
      <c r="C20" s="62"/>
      <c r="D20" s="62"/>
      <c r="E20" s="62"/>
      <c r="F20" s="62"/>
      <c r="G20" s="62"/>
      <c r="H20" s="62"/>
    </row>
    <row r="21" spans="3:20" ht="15.6">
      <c r="C21" s="62">
        <f>C12-'Додаток 3 '!C17</f>
        <v>0</v>
      </c>
      <c r="D21" s="62">
        <f>D12-'Додаток 3 '!D17</f>
        <v>0</v>
      </c>
      <c r="E21" s="62">
        <f>E12-'Додаток 3 '!E17</f>
        <v>0</v>
      </c>
      <c r="F21" s="62">
        <f>F12-'Додаток 3 '!F17</f>
        <v>0</v>
      </c>
      <c r="G21" s="62">
        <f>G12-'Додаток 3 '!G17</f>
        <v>0</v>
      </c>
      <c r="H21" s="62">
        <f>H12-'Додаток 3 '!H17</f>
        <v>0</v>
      </c>
      <c r="I21" s="62">
        <f>I12-'Додаток 3 '!I17</f>
        <v>0</v>
      </c>
      <c r="J21" s="62">
        <f>J12-'Додаток 3 '!J17</f>
        <v>0</v>
      </c>
      <c r="K21" s="62">
        <f>K12-'Додаток 3 '!K17</f>
        <v>0</v>
      </c>
      <c r="L21" s="62">
        <f>L12-'Додаток 3 '!L17</f>
        <v>0</v>
      </c>
      <c r="M21" s="62">
        <f>M12-'Додаток 3 '!M17</f>
        <v>0</v>
      </c>
      <c r="N21" s="62">
        <f>N12-'Додаток 3 '!N17</f>
        <v>0</v>
      </c>
      <c r="O21" s="62">
        <f>O12-'Додаток 3 '!O17</f>
        <v>0</v>
      </c>
      <c r="P21" s="62">
        <f>P12-'Додаток 3 '!P17</f>
        <v>0</v>
      </c>
      <c r="Q21" s="62">
        <f>Q12-'Додаток 3 '!Q17</f>
        <v>0</v>
      </c>
      <c r="R21" s="62">
        <f>R12-'Додаток 3 '!R17</f>
        <v>0</v>
      </c>
      <c r="S21" s="62">
        <f>S12-'Додаток 3 '!S17</f>
        <v>0</v>
      </c>
      <c r="T21" s="62">
        <f>T12-'Додаток 3 '!T17</f>
        <v>0</v>
      </c>
    </row>
  </sheetData>
  <mergeCells count="15">
    <mergeCell ref="M1:N1"/>
    <mergeCell ref="P1:Q1"/>
    <mergeCell ref="S1:T1"/>
    <mergeCell ref="A3:H3"/>
    <mergeCell ref="A5:A6"/>
    <mergeCell ref="B5:B6"/>
    <mergeCell ref="C5:E5"/>
    <mergeCell ref="F5:H5"/>
    <mergeCell ref="I5:K5"/>
    <mergeCell ref="L5:N5"/>
    <mergeCell ref="O5:Q5"/>
    <mergeCell ref="R5:T5"/>
    <mergeCell ref="A14:E14"/>
    <mergeCell ref="A15:E15"/>
    <mergeCell ref="A16:E16"/>
  </mergeCells>
  <conditionalFormatting sqref="F7:F11">
    <cfRule type="expression" priority="7" dxfId="0" stopIfTrue="1">
      <formula>B7=1</formula>
    </cfRule>
  </conditionalFormatting>
  <conditionalFormatting sqref="C7:C11 E7:E11">
    <cfRule type="expression" priority="6" dxfId="0" stopIfTrue="1">
      <formula>XFD7=1</formula>
    </cfRule>
  </conditionalFormatting>
  <conditionalFormatting sqref="H7:H11">
    <cfRule type="expression" priority="5" dxfId="0" stopIfTrue="1">
      <formula>E7=1</formula>
    </cfRule>
  </conditionalFormatting>
  <conditionalFormatting sqref="K7:K11">
    <cfRule type="expression" priority="4" dxfId="0" stopIfTrue="1">
      <formula>H7=1</formula>
    </cfRule>
  </conditionalFormatting>
  <conditionalFormatting sqref="N7:N11">
    <cfRule type="expression" priority="3" dxfId="0" stopIfTrue="1">
      <formula>K7=1</formula>
    </cfRule>
  </conditionalFormatting>
  <conditionalFormatting sqref="Q7:Q11">
    <cfRule type="expression" priority="2" dxfId="0" stopIfTrue="1">
      <formula>N7=1</formula>
    </cfRule>
  </conditionalFormatting>
  <conditionalFormatting sqref="T7:T11">
    <cfRule type="expression" priority="1" dxfId="0" stopIfTrue="1">
      <formula>Q7=1</formula>
    </cfRule>
  </conditionalFormatting>
  <printOptions/>
  <pageMargins left="0.7874019999999998" right="0.19684999999999997" top="0.7874019999999998" bottom="0.3937009999999999" header="0.511811" footer="0.511811"/>
  <pageSetup fitToHeight="1" fitToWidth="1" horizontalDpi="300" verticalDpi="300" orientation="landscape" paperSize="9" scale="57" copies="1"/>
  <headerFooter>
    <oddHeader>&amp;C5&amp;Rпродовження додатка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>
            <xm:f>B7=1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  <border/>
            </x14:dxf>
          </x14:cfRule>
          <xm:sqref>F7:F11</xm:sqref>
        </x14:conditionalFormatting>
        <x14:conditionalFormatting xmlns:xm="http://schemas.microsoft.com/office/excel/2006/main">
          <x14:cfRule type="expression" priority="6" stopIfTrue="1">
            <xm:f>XFD7=1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C7:C11 E7:E11</xm:sqref>
        </x14:conditionalFormatting>
        <x14:conditionalFormatting xmlns:xm="http://schemas.microsoft.com/office/excel/2006/main">
          <x14:cfRule type="expression" priority="5" stopIfTrue="1">
            <xm:f>E7=1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H7:H11</xm:sqref>
        </x14:conditionalFormatting>
        <x14:conditionalFormatting xmlns:xm="http://schemas.microsoft.com/office/excel/2006/main">
          <x14:cfRule type="expression" priority="4" stopIfTrue="1">
            <xm:f>H7=1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K7:K11</xm:sqref>
        </x14:conditionalFormatting>
        <x14:conditionalFormatting xmlns:xm="http://schemas.microsoft.com/office/excel/2006/main">
          <x14:cfRule type="expression" priority="3" stopIfTrue="1">
            <xm:f>K7=1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N7:N11</xm:sqref>
        </x14:conditionalFormatting>
        <x14:conditionalFormatting xmlns:xm="http://schemas.microsoft.com/office/excel/2006/main">
          <x14:cfRule type="expression" priority="2" stopIfTrue="1">
            <xm:f>N7=1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Q7:Q11</xm:sqref>
        </x14:conditionalFormatting>
        <x14:conditionalFormatting xmlns:xm="http://schemas.microsoft.com/office/excel/2006/main">
          <x14:cfRule type="expression" priority="1" stopIfTrue="1">
            <xm:f>Q7=1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T7:T11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СТАРОДУБ Людмила Олександрівна</cp:lastModifiedBy>
  <dcterms:modified xsi:type="dcterms:W3CDTF">2023-12-22T17:18:35Z</dcterms:modified>
  <cp:category/>
  <cp:version/>
  <cp:contentType/>
  <cp:contentStatus/>
  <cp:revision>2</cp:revision>
</cp:coreProperties>
</file>