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410" windowHeight="11760" tabRatio="769"/>
  </bookViews>
  <sheets>
    <sheet name="темп граф" sheetId="3" r:id="rId1"/>
    <sheet name="норм втрати" sheetId="4" r:id="rId2"/>
    <sheet name="розрах втрат тр. ОП+ГВП" sheetId="9" r:id="rId3"/>
    <sheet name="ТЕО для ОП+ГВП" sheetId="8" r:id="rId4"/>
    <sheet name="допоміжн інф" sheetId="11" r:id="rId5"/>
    <sheet name="Отчет о совместимости" sheetId="12" r:id="rId6"/>
  </sheets>
  <definedNames>
    <definedName name="_Toc186444652" localSheetId="4">'допоміжн інф'!$B$18</definedName>
    <definedName name="_xlnm.Print_Area" localSheetId="1">'норм втрати'!$A$1:$Y$305</definedName>
    <definedName name="_xlnm.Print_Area" localSheetId="2">'розрах втрат тр. ОП+ГВП'!$A$1:$I$67</definedName>
    <definedName name="_xlnm.Print_Area" localSheetId="0">'темп граф'!$A$1:$I$61</definedName>
    <definedName name="_xlnm.Print_Area" localSheetId="3">'ТЕО для ОП+ГВП'!$A$1:$E$25</definedName>
  </definedNames>
  <calcPr calcId="152511" calcMode="manual"/>
</workbook>
</file>

<file path=xl/calcChain.xml><?xml version="1.0" encoding="utf-8"?>
<calcChain xmlns="http://schemas.openxmlformats.org/spreadsheetml/2006/main">
  <c r="C18" i="8" l="1"/>
  <c r="E21" i="8" l="1"/>
  <c r="D20" i="8"/>
  <c r="D17" i="8"/>
  <c r="C16" i="8"/>
  <c r="E20" i="8" l="1"/>
  <c r="D18" i="8"/>
  <c r="F47" i="3" l="1"/>
  <c r="F48" i="3"/>
  <c r="F49" i="3"/>
  <c r="F50" i="3"/>
  <c r="F51" i="3"/>
  <c r="F52" i="3"/>
  <c r="F55" i="3"/>
  <c r="F56" i="3"/>
  <c r="F57" i="3"/>
  <c r="F58" i="3"/>
  <c r="F59" i="3"/>
  <c r="H47" i="3"/>
  <c r="H48" i="3"/>
  <c r="H49" i="3"/>
  <c r="H50" i="3"/>
  <c r="H51" i="3"/>
  <c r="H52" i="3"/>
  <c r="H55" i="3"/>
  <c r="H56" i="3"/>
  <c r="H57" i="3"/>
  <c r="H58" i="3"/>
  <c r="H59" i="3"/>
  <c r="H46" i="3"/>
  <c r="E55" i="3"/>
  <c r="E56" i="3"/>
  <c r="E57" i="3"/>
  <c r="E58" i="3"/>
  <c r="E59" i="3"/>
  <c r="E52" i="3"/>
  <c r="E50" i="3"/>
  <c r="E51" i="3"/>
  <c r="E49" i="3"/>
  <c r="E48" i="3"/>
  <c r="E61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E47" i="3"/>
  <c r="C46" i="3"/>
  <c r="C61" i="3"/>
  <c r="E4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5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7" i="3"/>
  <c r="C7" i="3"/>
  <c r="H7" i="3"/>
  <c r="E7" i="3"/>
  <c r="C9" i="8"/>
  <c r="E9" i="8"/>
  <c r="C47" i="3"/>
  <c r="D48" i="9"/>
  <c r="D21" i="9" s="1"/>
  <c r="E67" i="9"/>
  <c r="E66" i="9"/>
  <c r="E65" i="9"/>
  <c r="E64" i="9"/>
  <c r="E63" i="9"/>
  <c r="E62" i="9"/>
  <c r="H55" i="9"/>
  <c r="H47" i="9"/>
  <c r="H46" i="9"/>
  <c r="H58" i="9"/>
  <c r="G10" i="9"/>
  <c r="D10" i="9"/>
  <c r="D54" i="9" s="1"/>
  <c r="E10" i="9"/>
  <c r="G260" i="4"/>
  <c r="M8" i="4"/>
  <c r="L8" i="4"/>
  <c r="K8" i="4"/>
  <c r="G213" i="4" s="1"/>
  <c r="G164" i="4"/>
  <c r="H164" i="4"/>
  <c r="G166" i="4"/>
  <c r="H166" i="4"/>
  <c r="L166" i="4" s="1"/>
  <c r="G167" i="4"/>
  <c r="H167" i="4"/>
  <c r="G168" i="4"/>
  <c r="H168" i="4"/>
  <c r="L168" i="4" s="1"/>
  <c r="G169" i="4"/>
  <c r="H169" i="4"/>
  <c r="G170" i="4"/>
  <c r="H170" i="4"/>
  <c r="L170" i="4" s="1"/>
  <c r="G171" i="4"/>
  <c r="H171" i="4"/>
  <c r="L171" i="4"/>
  <c r="G172" i="4"/>
  <c r="H172" i="4"/>
  <c r="G173" i="4"/>
  <c r="H173" i="4"/>
  <c r="L173" i="4" s="1"/>
  <c r="G174" i="4"/>
  <c r="H174" i="4"/>
  <c r="G175" i="4"/>
  <c r="H175" i="4" s="1"/>
  <c r="G176" i="4"/>
  <c r="H176" i="4"/>
  <c r="G177" i="4"/>
  <c r="H177" i="4" s="1"/>
  <c r="G178" i="4"/>
  <c r="H178" i="4"/>
  <c r="L178" i="4"/>
  <c r="G179" i="4"/>
  <c r="H179" i="4"/>
  <c r="G180" i="4"/>
  <c r="G181" i="4"/>
  <c r="H181" i="4"/>
  <c r="G141" i="4"/>
  <c r="G142" i="4"/>
  <c r="H142" i="4"/>
  <c r="L142" i="4"/>
  <c r="G143" i="4"/>
  <c r="H143" i="4"/>
  <c r="G144" i="4"/>
  <c r="H144" i="4"/>
  <c r="L144" i="4" s="1"/>
  <c r="G145" i="4"/>
  <c r="H145" i="4"/>
  <c r="G146" i="4"/>
  <c r="H146" i="4"/>
  <c r="L146" i="4" s="1"/>
  <c r="G147" i="4"/>
  <c r="H147" i="4"/>
  <c r="G148" i="4"/>
  <c r="H148" i="4" s="1"/>
  <c r="L148" i="4" s="1"/>
  <c r="G149" i="4"/>
  <c r="H149" i="4"/>
  <c r="G150" i="4"/>
  <c r="G151" i="4"/>
  <c r="H151" i="4"/>
  <c r="L151" i="4" s="1"/>
  <c r="G152" i="4"/>
  <c r="H152" i="4"/>
  <c r="G153" i="4"/>
  <c r="H153" i="4"/>
  <c r="L153" i="4" s="1"/>
  <c r="G154" i="4"/>
  <c r="H154" i="4"/>
  <c r="G155" i="4"/>
  <c r="H155" i="4"/>
  <c r="L155" i="4" s="1"/>
  <c r="G156" i="4"/>
  <c r="G157" i="4"/>
  <c r="G158" i="4"/>
  <c r="H158" i="4"/>
  <c r="L158" i="4" s="1"/>
  <c r="G159" i="4"/>
  <c r="G140" i="4"/>
  <c r="H140" i="4"/>
  <c r="L140" i="4" s="1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G83" i="4"/>
  <c r="G84" i="4"/>
  <c r="H84" i="4"/>
  <c r="G85" i="4"/>
  <c r="H85" i="4"/>
  <c r="G86" i="4"/>
  <c r="G87" i="4"/>
  <c r="G70" i="4"/>
  <c r="G65" i="4"/>
  <c r="H65" i="4"/>
  <c r="L65" i="4" s="1"/>
  <c r="G47" i="4"/>
  <c r="H47" i="4"/>
  <c r="G48" i="4"/>
  <c r="G49" i="4"/>
  <c r="H49" i="4" s="1"/>
  <c r="G50" i="4"/>
  <c r="H50" i="4"/>
  <c r="G51" i="4"/>
  <c r="G52" i="4"/>
  <c r="H52" i="4" s="1"/>
  <c r="G53" i="4"/>
  <c r="G54" i="4"/>
  <c r="H54" i="4"/>
  <c r="G55" i="4"/>
  <c r="H55" i="4"/>
  <c r="G56" i="4"/>
  <c r="H56" i="4"/>
  <c r="G57" i="4"/>
  <c r="H57" i="4"/>
  <c r="G58" i="4"/>
  <c r="H58" i="4"/>
  <c r="G59" i="4"/>
  <c r="H59" i="4"/>
  <c r="G60" i="4"/>
  <c r="G61" i="4"/>
  <c r="H61" i="4" s="1"/>
  <c r="G62" i="4"/>
  <c r="G63" i="4"/>
  <c r="H63" i="4"/>
  <c r="L63" i="4" s="1"/>
  <c r="G64" i="4"/>
  <c r="H64" i="4"/>
  <c r="G46" i="4"/>
  <c r="H46" i="4"/>
  <c r="Y8" i="4"/>
  <c r="X8" i="4"/>
  <c r="W8" i="4"/>
  <c r="G262" i="4"/>
  <c r="H262" i="4" s="1"/>
  <c r="G263" i="4"/>
  <c r="I263" i="4"/>
  <c r="G264" i="4"/>
  <c r="I264" i="4" s="1"/>
  <c r="J264" i="4" s="1"/>
  <c r="H264" i="4"/>
  <c r="L264" i="4" s="1"/>
  <c r="G265" i="4"/>
  <c r="I265" i="4"/>
  <c r="H265" i="4"/>
  <c r="G266" i="4"/>
  <c r="G267" i="4"/>
  <c r="G268" i="4"/>
  <c r="H268" i="4"/>
  <c r="L268" i="4" s="1"/>
  <c r="G269" i="4"/>
  <c r="G270" i="4"/>
  <c r="I270" i="4" s="1"/>
  <c r="J270" i="4" s="1"/>
  <c r="N270" i="4" s="1"/>
  <c r="H270" i="4"/>
  <c r="G271" i="4"/>
  <c r="G272" i="4"/>
  <c r="G273" i="4"/>
  <c r="H273" i="4"/>
  <c r="G274" i="4"/>
  <c r="H274" i="4" s="1"/>
  <c r="L274" i="4" s="1"/>
  <c r="G275" i="4"/>
  <c r="G276" i="4"/>
  <c r="H276" i="4"/>
  <c r="I276" i="4"/>
  <c r="J276" i="4" s="1"/>
  <c r="G277" i="4"/>
  <c r="I277" i="4"/>
  <c r="J277" i="4"/>
  <c r="G237" i="4"/>
  <c r="G238" i="4"/>
  <c r="G239" i="4"/>
  <c r="H239" i="4"/>
  <c r="G240" i="4"/>
  <c r="G241" i="4"/>
  <c r="G242" i="4"/>
  <c r="H242" i="4"/>
  <c r="G243" i="4"/>
  <c r="I243" i="4"/>
  <c r="G244" i="4"/>
  <c r="H244" i="4"/>
  <c r="G245" i="4"/>
  <c r="G246" i="4"/>
  <c r="I246" i="4"/>
  <c r="G247" i="4"/>
  <c r="G248" i="4"/>
  <c r="G249" i="4"/>
  <c r="H249" i="4"/>
  <c r="G250" i="4"/>
  <c r="H250" i="4"/>
  <c r="G251" i="4"/>
  <c r="G252" i="4"/>
  <c r="H252" i="4" s="1"/>
  <c r="G253" i="4"/>
  <c r="G254" i="4"/>
  <c r="G255" i="4"/>
  <c r="I255" i="4"/>
  <c r="J255" i="4" s="1"/>
  <c r="G236" i="4"/>
  <c r="I266" i="4"/>
  <c r="J266" i="4" s="1"/>
  <c r="V10" i="4"/>
  <c r="U10" i="4"/>
  <c r="T10" i="4"/>
  <c r="S10" i="4"/>
  <c r="H10" i="4"/>
  <c r="I10" i="4"/>
  <c r="J10" i="4"/>
  <c r="G10" i="4"/>
  <c r="G165" i="4" s="1"/>
  <c r="D16" i="8"/>
  <c r="E10" i="8"/>
  <c r="D10" i="8"/>
  <c r="E8" i="8"/>
  <c r="D8" i="8"/>
  <c r="J38" i="4"/>
  <c r="H32" i="9"/>
  <c r="H61" i="9"/>
  <c r="E61" i="9"/>
  <c r="H60" i="9"/>
  <c r="H27" i="9"/>
  <c r="H26" i="9"/>
  <c r="E60" i="9"/>
  <c r="E27" i="9"/>
  <c r="E26" i="9"/>
  <c r="H59" i="9"/>
  <c r="E59" i="9"/>
  <c r="E58" i="9"/>
  <c r="H57" i="9"/>
  <c r="E57" i="9"/>
  <c r="H56" i="9"/>
  <c r="E56" i="9"/>
  <c r="E55" i="9"/>
  <c r="G53" i="9"/>
  <c r="I49" i="9"/>
  <c r="I65" i="9"/>
  <c r="I27" i="9"/>
  <c r="H49" i="9"/>
  <c r="G49" i="9"/>
  <c r="G22" i="9"/>
  <c r="F49" i="9"/>
  <c r="F67" i="9"/>
  <c r="F27" i="9"/>
  <c r="E49" i="9"/>
  <c r="I48" i="9"/>
  <c r="I66" i="9"/>
  <c r="I26" i="9"/>
  <c r="H48" i="9"/>
  <c r="G48" i="9"/>
  <c r="G21" i="9"/>
  <c r="F48" i="9"/>
  <c r="F66" i="9"/>
  <c r="F26" i="9"/>
  <c r="E48" i="9"/>
  <c r="I47" i="9"/>
  <c r="I63" i="9"/>
  <c r="G47" i="9"/>
  <c r="G20" i="9"/>
  <c r="F47" i="9"/>
  <c r="F63" i="9"/>
  <c r="E47" i="9"/>
  <c r="I46" i="9"/>
  <c r="I62" i="9" s="1"/>
  <c r="G46" i="9"/>
  <c r="G19" i="9"/>
  <c r="G30" i="9"/>
  <c r="F46" i="9"/>
  <c r="F62" i="9"/>
  <c r="E46" i="9"/>
  <c r="G27" i="9"/>
  <c r="D27" i="9"/>
  <c r="D45" i="9"/>
  <c r="D49" i="9"/>
  <c r="D22" i="9" s="1"/>
  <c r="G26" i="9"/>
  <c r="D26" i="9"/>
  <c r="D44" i="9" s="1"/>
  <c r="G18" i="9"/>
  <c r="G54" i="9"/>
  <c r="D18" i="9"/>
  <c r="G17" i="9"/>
  <c r="G52" i="9"/>
  <c r="D17" i="9"/>
  <c r="D52" i="9"/>
  <c r="H10" i="9"/>
  <c r="A3" i="4"/>
  <c r="I38" i="4"/>
  <c r="C44" i="3"/>
  <c r="E44" i="3"/>
  <c r="I61" i="3"/>
  <c r="I60" i="3"/>
  <c r="I39" i="4" s="1"/>
  <c r="F304" i="4"/>
  <c r="J304" i="4"/>
  <c r="D304" i="4"/>
  <c r="H304" i="4" s="1"/>
  <c r="E304" i="4"/>
  <c r="I304" i="4"/>
  <c r="C304" i="4"/>
  <c r="G304" i="4" s="1"/>
  <c r="F280" i="4"/>
  <c r="J280" i="4"/>
  <c r="E280" i="4"/>
  <c r="I280" i="4" s="1"/>
  <c r="D280" i="4"/>
  <c r="H280" i="4"/>
  <c r="C280" i="4"/>
  <c r="G280" i="4" s="1"/>
  <c r="F256" i="4"/>
  <c r="J256" i="4"/>
  <c r="D256" i="4"/>
  <c r="H256" i="4" s="1"/>
  <c r="E256" i="4"/>
  <c r="C256" i="4"/>
  <c r="D232" i="4"/>
  <c r="H232" i="4" s="1"/>
  <c r="C232" i="4"/>
  <c r="G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32" i="4" s="1"/>
  <c r="O214" i="4"/>
  <c r="O213" i="4"/>
  <c r="O212" i="4"/>
  <c r="D208" i="4"/>
  <c r="H208" i="4" s="1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208" i="4" s="1"/>
  <c r="C208" i="4"/>
  <c r="G208" i="4"/>
  <c r="O188" i="4"/>
  <c r="D184" i="4"/>
  <c r="H184" i="4" s="1"/>
  <c r="C184" i="4"/>
  <c r="G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84" i="4" s="1"/>
  <c r="O165" i="4"/>
  <c r="O164" i="4"/>
  <c r="D160" i="4"/>
  <c r="H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C160" i="4"/>
  <c r="G160" i="4" s="1"/>
  <c r="O140" i="4"/>
  <c r="D136" i="4"/>
  <c r="H136" i="4"/>
  <c r="O135" i="4"/>
  <c r="O134" i="4"/>
  <c r="O133" i="4"/>
  <c r="O132" i="4"/>
  <c r="O131" i="4"/>
  <c r="O130" i="4"/>
  <c r="O129" i="4"/>
  <c r="O128" i="4"/>
  <c r="O127" i="4"/>
  <c r="C136" i="4"/>
  <c r="G136" i="4" s="1"/>
  <c r="O125" i="4"/>
  <c r="O124" i="4"/>
  <c r="O123" i="4"/>
  <c r="O122" i="4"/>
  <c r="O121" i="4"/>
  <c r="O120" i="4"/>
  <c r="O119" i="4"/>
  <c r="O118" i="4"/>
  <c r="O117" i="4"/>
  <c r="O116" i="4"/>
  <c r="D112" i="4"/>
  <c r="H112" i="4" s="1"/>
  <c r="O111" i="4"/>
  <c r="O110" i="4"/>
  <c r="O109" i="4"/>
  <c r="O108" i="4"/>
  <c r="O107" i="4"/>
  <c r="C112" i="4"/>
  <c r="G112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D88" i="4"/>
  <c r="H88" i="4"/>
  <c r="C88" i="4"/>
  <c r="G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88" i="4" s="1"/>
  <c r="D66" i="4"/>
  <c r="H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C66" i="4"/>
  <c r="G66" i="4"/>
  <c r="O46" i="4"/>
  <c r="B7" i="3"/>
  <c r="O47" i="4"/>
  <c r="O106" i="4"/>
  <c r="O126" i="4"/>
  <c r="O141" i="4"/>
  <c r="J278" i="4"/>
  <c r="J279" i="4"/>
  <c r="H277" i="4"/>
  <c r="E32" i="9"/>
  <c r="G32" i="9"/>
  <c r="F64" i="9"/>
  <c r="H255" i="4"/>
  <c r="H86" i="4"/>
  <c r="H62" i="4"/>
  <c r="H60" i="4"/>
  <c r="L60" i="4" s="1"/>
  <c r="H53" i="4"/>
  <c r="H156" i="4"/>
  <c r="H159" i="4"/>
  <c r="H182" i="4"/>
  <c r="L182" i="4" s="1"/>
  <c r="H183" i="4"/>
  <c r="I249" i="4"/>
  <c r="J249" i="4"/>
  <c r="I253" i="4"/>
  <c r="J253" i="4"/>
  <c r="H253" i="4"/>
  <c r="I254" i="4"/>
  <c r="J254" i="4"/>
  <c r="H254" i="4"/>
  <c r="H241" i="4"/>
  <c r="I241" i="4"/>
  <c r="J241" i="4"/>
  <c r="I239" i="4"/>
  <c r="J239" i="4"/>
  <c r="H243" i="4"/>
  <c r="G51" i="9"/>
  <c r="G66" i="9"/>
  <c r="G62" i="9"/>
  <c r="D32" i="9"/>
  <c r="H83" i="4"/>
  <c r="I244" i="4"/>
  <c r="J244" i="4" s="1"/>
  <c r="I275" i="4"/>
  <c r="J275" i="4" s="1"/>
  <c r="N275" i="4" s="1"/>
  <c r="H263" i="4"/>
  <c r="L263" i="4" s="1"/>
  <c r="J263" i="4"/>
  <c r="D9" i="8"/>
  <c r="I252" i="4"/>
  <c r="H248" i="4"/>
  <c r="I248" i="4"/>
  <c r="J248" i="4" s="1"/>
  <c r="I245" i="4"/>
  <c r="J245" i="4" s="1"/>
  <c r="H51" i="4"/>
  <c r="H251" i="4"/>
  <c r="I251" i="4"/>
  <c r="J251" i="4" s="1"/>
  <c r="G50" i="9"/>
  <c r="G23" i="9"/>
  <c r="H245" i="4"/>
  <c r="I268" i="4"/>
  <c r="J268" i="4" s="1"/>
  <c r="J243" i="4"/>
  <c r="H275" i="4"/>
  <c r="H272" i="4"/>
  <c r="L272" i="4" s="1"/>
  <c r="I272" i="4"/>
  <c r="H48" i="4"/>
  <c r="H70" i="4"/>
  <c r="H157" i="4"/>
  <c r="L157" i="4" s="1"/>
  <c r="J246" i="4"/>
  <c r="N246" i="4" s="1"/>
  <c r="I250" i="4"/>
  <c r="J250" i="4"/>
  <c r="N250" i="4" s="1"/>
  <c r="H82" i="4"/>
  <c r="H260" i="4"/>
  <c r="I260" i="4"/>
  <c r="J252" i="4"/>
  <c r="J260" i="4"/>
  <c r="I256" i="4"/>
  <c r="I67" i="9"/>
  <c r="I64" i="9"/>
  <c r="G31" i="9"/>
  <c r="F65" i="9"/>
  <c r="B8" i="3"/>
  <c r="J39" i="4"/>
  <c r="L174" i="4" s="1"/>
  <c r="K140" i="4"/>
  <c r="B61" i="3"/>
  <c r="J37" i="4"/>
  <c r="F28" i="9"/>
  <c r="B60" i="3"/>
  <c r="I37" i="4" s="1"/>
  <c r="I28" i="9"/>
  <c r="B9" i="3"/>
  <c r="K86" i="4"/>
  <c r="L49" i="4"/>
  <c r="L72" i="4"/>
  <c r="K79" i="4"/>
  <c r="K249" i="4"/>
  <c r="K72" i="4"/>
  <c r="L243" i="4"/>
  <c r="K267" i="4"/>
  <c r="K240" i="4"/>
  <c r="K243" i="4"/>
  <c r="K265" i="4"/>
  <c r="L251" i="4"/>
  <c r="K70" i="4"/>
  <c r="K59" i="4"/>
  <c r="K278" i="4"/>
  <c r="M248" i="4"/>
  <c r="L50" i="4"/>
  <c r="N253" i="4"/>
  <c r="M279" i="4"/>
  <c r="K80" i="4"/>
  <c r="L74" i="4"/>
  <c r="K255" i="4"/>
  <c r="M253" i="4"/>
  <c r="K245" i="4"/>
  <c r="K63" i="4"/>
  <c r="K48" i="4"/>
  <c r="L250" i="4"/>
  <c r="M276" i="4"/>
  <c r="N254" i="4"/>
  <c r="L51" i="4"/>
  <c r="N263" i="4"/>
  <c r="M249" i="4"/>
  <c r="L260" i="4"/>
  <c r="K83" i="4"/>
  <c r="M278" i="4"/>
  <c r="K277" i="4"/>
  <c r="M275" i="4"/>
  <c r="L159" i="4"/>
  <c r="L176" i="4"/>
  <c r="L175" i="4"/>
  <c r="K168" i="4"/>
  <c r="K173" i="4"/>
  <c r="K158" i="4"/>
  <c r="K156" i="4"/>
  <c r="K170" i="4"/>
  <c r="K153" i="4"/>
  <c r="L167" i="4"/>
  <c r="K159" i="4"/>
  <c r="K169" i="4"/>
  <c r="K142" i="4"/>
  <c r="K178" i="4"/>
  <c r="K143" i="4"/>
  <c r="L143" i="4"/>
  <c r="L169" i="4"/>
  <c r="K181" i="4"/>
  <c r="K145" i="4"/>
  <c r="K146" i="4"/>
  <c r="K176" i="4"/>
  <c r="K174" i="4"/>
  <c r="L154" i="4"/>
  <c r="L149" i="4"/>
  <c r="L183" i="4"/>
  <c r="K182" i="4"/>
  <c r="K172" i="4"/>
  <c r="K164" i="4"/>
  <c r="L152" i="4"/>
  <c r="K154" i="4"/>
  <c r="L172" i="4"/>
  <c r="K157" i="4"/>
  <c r="L181" i="4"/>
  <c r="K152" i="4"/>
  <c r="K183" i="4"/>
  <c r="K166" i="4"/>
  <c r="L145" i="4"/>
  <c r="K144" i="4"/>
  <c r="L177" i="4"/>
  <c r="K147" i="4"/>
  <c r="L164" i="4"/>
  <c r="K149" i="4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43" i="3"/>
  <c r="E43" i="3"/>
  <c r="B33" i="3"/>
  <c r="B34" i="3"/>
  <c r="B35" i="3"/>
  <c r="B36" i="3"/>
  <c r="B37" i="3"/>
  <c r="B38" i="3"/>
  <c r="B39" i="3"/>
  <c r="B40" i="3"/>
  <c r="B41" i="3"/>
  <c r="B42" i="3"/>
  <c r="D53" i="9"/>
  <c r="D50" i="9" s="1"/>
  <c r="D23" i="9" s="1"/>
  <c r="D51" i="9"/>
  <c r="H66" i="9"/>
  <c r="E60" i="3"/>
  <c r="I33" i="4" s="1"/>
  <c r="C60" i="3"/>
  <c r="I32" i="4" s="1"/>
  <c r="F60" i="3"/>
  <c r="H60" i="3"/>
  <c r="F46" i="3"/>
  <c r="F61" i="3"/>
  <c r="J32" i="4"/>
  <c r="G192" i="4" s="1"/>
  <c r="H61" i="3"/>
  <c r="J33" i="4"/>
  <c r="G228" i="4"/>
  <c r="K228" i="4" s="1"/>
  <c r="D46" i="9"/>
  <c r="D19" i="9" s="1"/>
  <c r="G190" i="4"/>
  <c r="H190" i="4" s="1"/>
  <c r="L190" i="4" s="1"/>
  <c r="G194" i="4"/>
  <c r="G25" i="9"/>
  <c r="I25" i="9"/>
  <c r="J272" i="4"/>
  <c r="N272" i="4"/>
  <c r="M270" i="4"/>
  <c r="O136" i="4"/>
  <c r="D25" i="9"/>
  <c r="D43" i="9"/>
  <c r="D47" i="9"/>
  <c r="D20" i="9" s="1"/>
  <c r="G230" i="4"/>
  <c r="H230" i="4" s="1"/>
  <c r="L230" i="4" s="1"/>
  <c r="F25" i="9"/>
  <c r="G222" i="4"/>
  <c r="H222" i="4" s="1"/>
  <c r="L222" i="4" s="1"/>
  <c r="H24" i="9"/>
  <c r="G195" i="4"/>
  <c r="H195" i="4" s="1"/>
  <c r="L195" i="4" s="1"/>
  <c r="G227" i="4"/>
  <c r="H227" i="4" s="1"/>
  <c r="L227" i="4" s="1"/>
  <c r="G226" i="4"/>
  <c r="H226" i="4" s="1"/>
  <c r="L226" i="4" s="1"/>
  <c r="H25" i="9"/>
  <c r="G220" i="4"/>
  <c r="G223" i="4"/>
  <c r="H223" i="4" s="1"/>
  <c r="L223" i="4" s="1"/>
  <c r="G218" i="4"/>
  <c r="H218" i="4" s="1"/>
  <c r="L218" i="4" s="1"/>
  <c r="G231" i="4"/>
  <c r="G221" i="4"/>
  <c r="H221" i="4" s="1"/>
  <c r="L221" i="4" s="1"/>
  <c r="G217" i="4"/>
  <c r="H217" i="4" s="1"/>
  <c r="L217" i="4" s="1"/>
  <c r="G202" i="4"/>
  <c r="K202" i="4" s="1"/>
  <c r="G203" i="4"/>
  <c r="H203" i="4" s="1"/>
  <c r="L203" i="4" s="1"/>
  <c r="G189" i="4"/>
  <c r="K189" i="4" s="1"/>
  <c r="G207" i="4"/>
  <c r="K207" i="4" s="1"/>
  <c r="K155" i="4"/>
  <c r="K171" i="4"/>
  <c r="K151" i="4"/>
  <c r="K148" i="4"/>
  <c r="K179" i="4"/>
  <c r="L156" i="4"/>
  <c r="K175" i="4"/>
  <c r="K167" i="4"/>
  <c r="M241" i="4"/>
  <c r="O112" i="4"/>
  <c r="H269" i="4"/>
  <c r="L269" i="4"/>
  <c r="I269" i="4"/>
  <c r="I242" i="4"/>
  <c r="J242" i="4" s="1"/>
  <c r="N242" i="4" s="1"/>
  <c r="I236" i="4"/>
  <c r="M236" i="4" s="1"/>
  <c r="H236" i="4"/>
  <c r="L236" i="4" s="1"/>
  <c r="J265" i="4"/>
  <c r="N265" i="4"/>
  <c r="M265" i="4"/>
  <c r="G33" i="9"/>
  <c r="H64" i="9"/>
  <c r="I271" i="4"/>
  <c r="J271" i="4" s="1"/>
  <c r="N271" i="4" s="1"/>
  <c r="H271" i="4"/>
  <c r="L271" i="4" s="1"/>
  <c r="H267" i="4"/>
  <c r="L267" i="4"/>
  <c r="I267" i="4"/>
  <c r="M267" i="4" s="1"/>
  <c r="I274" i="4"/>
  <c r="I273" i="4"/>
  <c r="M273" i="4" s="1"/>
  <c r="H246" i="4"/>
  <c r="L246" i="4" s="1"/>
  <c r="M271" i="4"/>
  <c r="K221" i="4"/>
  <c r="H202" i="4"/>
  <c r="L202" i="4"/>
  <c r="K217" i="4"/>
  <c r="K222" i="4"/>
  <c r="J274" i="4"/>
  <c r="N274" i="4" s="1"/>
  <c r="M274" i="4"/>
  <c r="J269" i="4"/>
  <c r="N269" i="4"/>
  <c r="M269" i="4"/>
  <c r="K220" i="4"/>
  <c r="H220" i="4"/>
  <c r="L220" i="4"/>
  <c r="K226" i="4"/>
  <c r="M242" i="4"/>
  <c r="H189" i="4"/>
  <c r="L189" i="4" s="1"/>
  <c r="K227" i="4"/>
  <c r="J236" i="4"/>
  <c r="N236" i="4"/>
  <c r="K230" i="4"/>
  <c r="J273" i="4"/>
  <c r="N273" i="4" s="1"/>
  <c r="H207" i="4"/>
  <c r="L207" i="4" s="1"/>
  <c r="K231" i="4"/>
  <c r="H231" i="4"/>
  <c r="L231" i="4"/>
  <c r="K223" i="4"/>
  <c r="K195" i="4"/>
  <c r="J60" i="9" l="1"/>
  <c r="H63" i="9"/>
  <c r="H62" i="9"/>
  <c r="H65" i="9"/>
  <c r="O160" i="4"/>
  <c r="H192" i="4"/>
  <c r="L192" i="4" s="1"/>
  <c r="K192" i="4"/>
  <c r="H165" i="4"/>
  <c r="L165" i="4" s="1"/>
  <c r="L184" i="4" s="1"/>
  <c r="K165" i="4"/>
  <c r="H213" i="4"/>
  <c r="L213" i="4" s="1"/>
  <c r="K213" i="4"/>
  <c r="I238" i="4"/>
  <c r="J238" i="4" s="1"/>
  <c r="N238" i="4" s="1"/>
  <c r="H238" i="4"/>
  <c r="K266" i="4"/>
  <c r="H266" i="4"/>
  <c r="K218" i="4"/>
  <c r="G24" i="9"/>
  <c r="J267" i="4"/>
  <c r="N267" i="4" s="1"/>
  <c r="K203" i="4"/>
  <c r="K177" i="4"/>
  <c r="G225" i="4"/>
  <c r="G199" i="4"/>
  <c r="G215" i="4"/>
  <c r="G224" i="4"/>
  <c r="K190" i="4"/>
  <c r="H228" i="4"/>
  <c r="L228" i="4" s="1"/>
  <c r="E25" i="9"/>
  <c r="G219" i="4"/>
  <c r="G212" i="4"/>
  <c r="G229" i="4"/>
  <c r="G216" i="4"/>
  <c r="G214" i="4"/>
  <c r="I262" i="4"/>
  <c r="O66" i="4"/>
  <c r="H141" i="4"/>
  <c r="L141" i="4" s="1"/>
  <c r="K141" i="4"/>
  <c r="K160" i="4" s="1"/>
  <c r="G193" i="4"/>
  <c r="G197" i="4"/>
  <c r="F24" i="9"/>
  <c r="I24" i="9"/>
  <c r="G205" i="4"/>
  <c r="D24" i="9"/>
  <c r="D42" i="9" s="1"/>
  <c r="G196" i="4"/>
  <c r="G191" i="4"/>
  <c r="G200" i="4"/>
  <c r="G204" i="4"/>
  <c r="G198" i="4"/>
  <c r="G201" i="4"/>
  <c r="I240" i="4"/>
  <c r="H240" i="4"/>
  <c r="L240" i="4" s="1"/>
  <c r="H237" i="4"/>
  <c r="L237" i="4" s="1"/>
  <c r="I237" i="4"/>
  <c r="J237" i="4" s="1"/>
  <c r="H87" i="4"/>
  <c r="K87" i="4"/>
  <c r="H194" i="4"/>
  <c r="L194" i="4" s="1"/>
  <c r="K194" i="4"/>
  <c r="I29" i="9"/>
  <c r="I285" i="4"/>
  <c r="M285" i="4" s="1"/>
  <c r="E24" i="9"/>
  <c r="G206" i="4"/>
  <c r="G188" i="4"/>
  <c r="G71" i="4"/>
  <c r="H71" i="4" s="1"/>
  <c r="G261" i="4"/>
  <c r="H247" i="4"/>
  <c r="I247" i="4"/>
  <c r="J247" i="4" s="1"/>
  <c r="K150" i="4"/>
  <c r="H150" i="4"/>
  <c r="L150" i="4" s="1"/>
  <c r="K180" i="4"/>
  <c r="H180" i="4"/>
  <c r="L180" i="4" s="1"/>
  <c r="L147" i="4"/>
  <c r="L160" i="4" s="1"/>
  <c r="C5" i="8"/>
  <c r="H33" i="9"/>
  <c r="H67" i="9" s="1"/>
  <c r="N248" i="4"/>
  <c r="G256" i="4"/>
  <c r="L179" i="4"/>
  <c r="G133" i="4"/>
  <c r="C7" i="8"/>
  <c r="E7" i="8" s="1"/>
  <c r="G124" i="4"/>
  <c r="H124" i="4" s="1"/>
  <c r="L124" i="4" s="1"/>
  <c r="L78" i="4"/>
  <c r="K46" i="4"/>
  <c r="K275" i="4"/>
  <c r="N266" i="4"/>
  <c r="L242" i="4"/>
  <c r="L276" i="4"/>
  <c r="K78" i="4"/>
  <c r="M251" i="4"/>
  <c r="K73" i="4"/>
  <c r="K253" i="4"/>
  <c r="K85" i="4"/>
  <c r="N241" i="4"/>
  <c r="M243" i="4"/>
  <c r="L85" i="4"/>
  <c r="L249" i="4"/>
  <c r="L59" i="4"/>
  <c r="M266" i="4"/>
  <c r="N268" i="4"/>
  <c r="L275" i="4"/>
  <c r="L71" i="4"/>
  <c r="L79" i="4"/>
  <c r="G96" i="4"/>
  <c r="H96" i="4" s="1"/>
  <c r="L96" i="4" s="1"/>
  <c r="G111" i="4"/>
  <c r="K111" i="4" s="1"/>
  <c r="G131" i="4"/>
  <c r="K131" i="4" s="1"/>
  <c r="I300" i="4"/>
  <c r="J300" i="4" s="1"/>
  <c r="N300" i="4" s="1"/>
  <c r="K53" i="4"/>
  <c r="L56" i="4"/>
  <c r="L62" i="4"/>
  <c r="K269" i="4"/>
  <c r="K246" i="4"/>
  <c r="K247" i="4"/>
  <c r="K264" i="4"/>
  <c r="K56" i="4"/>
  <c r="K251" i="4"/>
  <c r="K252" i="4"/>
  <c r="L278" i="4"/>
  <c r="L64" i="4"/>
  <c r="K64" i="4"/>
  <c r="L82" i="4"/>
  <c r="L55" i="4"/>
  <c r="K241" i="4"/>
  <c r="K260" i="4"/>
  <c r="L80" i="4"/>
  <c r="K51" i="4"/>
  <c r="K77" i="4"/>
  <c r="L270" i="4"/>
  <c r="L253" i="4"/>
  <c r="K276" i="4"/>
  <c r="K50" i="4"/>
  <c r="K84" i="4"/>
  <c r="F29" i="9"/>
  <c r="G297" i="4"/>
  <c r="G122" i="4"/>
  <c r="I302" i="4"/>
  <c r="M302" i="4" s="1"/>
  <c r="K133" i="4"/>
  <c r="H133" i="4"/>
  <c r="L133" i="4" s="1"/>
  <c r="J302" i="4"/>
  <c r="N302" i="4" s="1"/>
  <c r="J285" i="4"/>
  <c r="N285" i="4" s="1"/>
  <c r="I297" i="4"/>
  <c r="G121" i="4"/>
  <c r="I294" i="4"/>
  <c r="I293" i="4"/>
  <c r="I299" i="4"/>
  <c r="I288" i="4"/>
  <c r="I291" i="4"/>
  <c r="I301" i="4"/>
  <c r="G292" i="4"/>
  <c r="I290" i="4"/>
  <c r="G291" i="4"/>
  <c r="G290" i="4"/>
  <c r="G302" i="4"/>
  <c r="I287" i="4"/>
  <c r="I286" i="4"/>
  <c r="I303" i="4"/>
  <c r="G300" i="4"/>
  <c r="G301" i="4"/>
  <c r="G293" i="4"/>
  <c r="I289" i="4"/>
  <c r="G286" i="4"/>
  <c r="G294" i="4"/>
  <c r="I292" i="4"/>
  <c r="G303" i="4"/>
  <c r="G296" i="4"/>
  <c r="G298" i="4"/>
  <c r="G284" i="4"/>
  <c r="I298" i="4"/>
  <c r="I295" i="4"/>
  <c r="G97" i="4"/>
  <c r="G295" i="4"/>
  <c r="I284" i="4"/>
  <c r="G289" i="4"/>
  <c r="G299" i="4"/>
  <c r="I296" i="4"/>
  <c r="G287" i="4"/>
  <c r="G288" i="4"/>
  <c r="G285" i="4"/>
  <c r="G98" i="4"/>
  <c r="G92" i="4"/>
  <c r="G100" i="4"/>
  <c r="G102" i="4"/>
  <c r="H131" i="4"/>
  <c r="L131" i="4" s="1"/>
  <c r="K124" i="4"/>
  <c r="G119" i="4"/>
  <c r="G107" i="4"/>
  <c r="G94" i="4"/>
  <c r="G129" i="4"/>
  <c r="G128" i="4"/>
  <c r="G135" i="4"/>
  <c r="G101" i="4"/>
  <c r="G103" i="4"/>
  <c r="G104" i="4"/>
  <c r="G120" i="4"/>
  <c r="G116" i="4"/>
  <c r="G123" i="4"/>
  <c r="G117" i="4"/>
  <c r="G95" i="4"/>
  <c r="G105" i="4"/>
  <c r="G106" i="4"/>
  <c r="G108" i="4"/>
  <c r="L77" i="4"/>
  <c r="L58" i="4"/>
  <c r="N278" i="4"/>
  <c r="L277" i="4"/>
  <c r="L53" i="4"/>
  <c r="N239" i="4"/>
  <c r="N251" i="4"/>
  <c r="N237" i="4"/>
  <c r="K236" i="4"/>
  <c r="L254" i="4"/>
  <c r="K250" i="4"/>
  <c r="L239" i="4"/>
  <c r="L52" i="4"/>
  <c r="K54" i="4"/>
  <c r="C6" i="8"/>
  <c r="E6" i="8" s="1"/>
  <c r="K254" i="4"/>
  <c r="M244" i="4"/>
  <c r="K47" i="4"/>
  <c r="L48" i="4"/>
  <c r="K55" i="4"/>
  <c r="K61" i="4"/>
  <c r="M247" i="4"/>
  <c r="K239" i="4"/>
  <c r="M255" i="4"/>
  <c r="K52" i="4"/>
  <c r="M245" i="4"/>
  <c r="L241" i="4"/>
  <c r="L252" i="4"/>
  <c r="K279" i="4"/>
  <c r="K71" i="4"/>
  <c r="K237" i="4"/>
  <c r="K60" i="4"/>
  <c r="L248" i="4"/>
  <c r="L47" i="4"/>
  <c r="N243" i="4"/>
  <c r="K57" i="4"/>
  <c r="N247" i="4"/>
  <c r="L238" i="4"/>
  <c r="K248" i="4"/>
  <c r="L245" i="4"/>
  <c r="N255" i="4"/>
  <c r="K270" i="4"/>
  <c r="L279" i="4"/>
  <c r="D33" i="9"/>
  <c r="D31" i="9" s="1"/>
  <c r="D66" i="9" s="1"/>
  <c r="L61" i="4"/>
  <c r="M277" i="4"/>
  <c r="N245" i="4"/>
  <c r="K272" i="4"/>
  <c r="M260" i="4"/>
  <c r="L75" i="4"/>
  <c r="L84" i="4"/>
  <c r="L70" i="4"/>
  <c r="N252" i="4"/>
  <c r="N260" i="4"/>
  <c r="L244" i="4"/>
  <c r="M246" i="4"/>
  <c r="M264" i="4"/>
  <c r="N279" i="4"/>
  <c r="L86" i="4"/>
  <c r="N264" i="4"/>
  <c r="M272" i="4"/>
  <c r="L73" i="4"/>
  <c r="L76" i="4"/>
  <c r="L81" i="4"/>
  <c r="L54" i="4"/>
  <c r="K274" i="4"/>
  <c r="N277" i="4"/>
  <c r="L255" i="4"/>
  <c r="N244" i="4"/>
  <c r="L46" i="4"/>
  <c r="K58" i="4"/>
  <c r="K238" i="4"/>
  <c r="L265" i="4"/>
  <c r="M254" i="4"/>
  <c r="K263" i="4"/>
  <c r="K74" i="4"/>
  <c r="K262" i="4"/>
  <c r="L247" i="4"/>
  <c r="K65" i="4"/>
  <c r="K82" i="4"/>
  <c r="K76" i="4"/>
  <c r="K62" i="4"/>
  <c r="M239" i="4"/>
  <c r="K273" i="4"/>
  <c r="K244" i="4"/>
  <c r="L262" i="4"/>
  <c r="M268" i="4"/>
  <c r="M237" i="4"/>
  <c r="L273" i="4"/>
  <c r="K242" i="4"/>
  <c r="K268" i="4"/>
  <c r="K75" i="4"/>
  <c r="N249" i="4"/>
  <c r="K81" i="4"/>
  <c r="L83" i="4"/>
  <c r="N276" i="4"/>
  <c r="M252" i="4"/>
  <c r="M250" i="4"/>
  <c r="E33" i="9"/>
  <c r="M263" i="4"/>
  <c r="K49" i="4"/>
  <c r="L87" i="4"/>
  <c r="G132" i="4"/>
  <c r="G126" i="4"/>
  <c r="G134" i="4"/>
  <c r="G130" i="4"/>
  <c r="G125" i="4"/>
  <c r="G99" i="4"/>
  <c r="G110" i="4"/>
  <c r="G93" i="4"/>
  <c r="G109" i="4"/>
  <c r="G118" i="4"/>
  <c r="G127" i="4"/>
  <c r="K271" i="4"/>
  <c r="L266" i="4"/>
  <c r="L57" i="4"/>
  <c r="D7" i="8"/>
  <c r="D30" i="9"/>
  <c r="D62" i="9" s="1"/>
  <c r="D5" i="8" l="1"/>
  <c r="E5" i="8"/>
  <c r="H261" i="4"/>
  <c r="L261" i="4" s="1"/>
  <c r="I261" i="4"/>
  <c r="H201" i="4"/>
  <c r="L201" i="4" s="1"/>
  <c r="K201" i="4"/>
  <c r="H191" i="4"/>
  <c r="L191" i="4" s="1"/>
  <c r="K191" i="4"/>
  <c r="K214" i="4"/>
  <c r="H214" i="4"/>
  <c r="L214" i="4" s="1"/>
  <c r="H219" i="4"/>
  <c r="L219" i="4" s="1"/>
  <c r="K219" i="4"/>
  <c r="K224" i="4"/>
  <c r="H224" i="4"/>
  <c r="L224" i="4" s="1"/>
  <c r="D6" i="8"/>
  <c r="M238" i="4"/>
  <c r="K261" i="4"/>
  <c r="K198" i="4"/>
  <c r="H198" i="4"/>
  <c r="L198" i="4" s="1"/>
  <c r="K196" i="4"/>
  <c r="H196" i="4"/>
  <c r="L196" i="4" s="1"/>
  <c r="K216" i="4"/>
  <c r="H216" i="4"/>
  <c r="L216" i="4" s="1"/>
  <c r="H215" i="4"/>
  <c r="L215" i="4" s="1"/>
  <c r="K215" i="4"/>
  <c r="K188" i="4"/>
  <c r="H188" i="4"/>
  <c r="L188" i="4" s="1"/>
  <c r="K204" i="4"/>
  <c r="H204" i="4"/>
  <c r="L204" i="4" s="1"/>
  <c r="H197" i="4"/>
  <c r="L197" i="4" s="1"/>
  <c r="K197" i="4"/>
  <c r="K229" i="4"/>
  <c r="H229" i="4"/>
  <c r="L229" i="4" s="1"/>
  <c r="K199" i="4"/>
  <c r="H199" i="4"/>
  <c r="L199" i="4" s="1"/>
  <c r="K66" i="4"/>
  <c r="H206" i="4"/>
  <c r="L206" i="4" s="1"/>
  <c r="K206" i="4"/>
  <c r="J240" i="4"/>
  <c r="N240" i="4" s="1"/>
  <c r="M240" i="4"/>
  <c r="K200" i="4"/>
  <c r="H200" i="4"/>
  <c r="L200" i="4" s="1"/>
  <c r="H205" i="4"/>
  <c r="L205" i="4" s="1"/>
  <c r="K205" i="4"/>
  <c r="K193" i="4"/>
  <c r="H193" i="4"/>
  <c r="L193" i="4" s="1"/>
  <c r="M262" i="4"/>
  <c r="J262" i="4"/>
  <c r="N262" i="4" s="1"/>
  <c r="H212" i="4"/>
  <c r="L212" i="4" s="1"/>
  <c r="K212" i="4"/>
  <c r="K232" i="4" s="1"/>
  <c r="K225" i="4"/>
  <c r="H225" i="4"/>
  <c r="L225" i="4" s="1"/>
  <c r="K184" i="4"/>
  <c r="K256" i="4"/>
  <c r="M300" i="4"/>
  <c r="H111" i="4"/>
  <c r="L111" i="4" s="1"/>
  <c r="K122" i="4"/>
  <c r="H122" i="4"/>
  <c r="L122" i="4" s="1"/>
  <c r="K88" i="4"/>
  <c r="K280" i="4"/>
  <c r="L280" i="4"/>
  <c r="M256" i="4"/>
  <c r="L256" i="4"/>
  <c r="N256" i="4"/>
  <c r="L66" i="4"/>
  <c r="K96" i="4"/>
  <c r="H297" i="4"/>
  <c r="L297" i="4" s="1"/>
  <c r="K297" i="4"/>
  <c r="K126" i="4"/>
  <c r="H126" i="4"/>
  <c r="L126" i="4" s="1"/>
  <c r="K135" i="4"/>
  <c r="H135" i="4"/>
  <c r="L135" i="4" s="1"/>
  <c r="H109" i="4"/>
  <c r="L109" i="4" s="1"/>
  <c r="K109" i="4"/>
  <c r="K125" i="4"/>
  <c r="H125" i="4"/>
  <c r="L125" i="4" s="1"/>
  <c r="K132" i="4"/>
  <c r="H132" i="4"/>
  <c r="L132" i="4" s="1"/>
  <c r="H108" i="4"/>
  <c r="L108" i="4" s="1"/>
  <c r="K108" i="4"/>
  <c r="H117" i="4"/>
  <c r="L117" i="4" s="1"/>
  <c r="K117" i="4"/>
  <c r="H104" i="4"/>
  <c r="L104" i="4" s="1"/>
  <c r="K104" i="4"/>
  <c r="H128" i="4"/>
  <c r="L128" i="4" s="1"/>
  <c r="K128" i="4"/>
  <c r="H119" i="4"/>
  <c r="L119" i="4" s="1"/>
  <c r="K119" i="4"/>
  <c r="H102" i="4"/>
  <c r="L102" i="4" s="1"/>
  <c r="K102" i="4"/>
  <c r="H285" i="4"/>
  <c r="L285" i="4" s="1"/>
  <c r="K285" i="4"/>
  <c r="K299" i="4"/>
  <c r="H299" i="4"/>
  <c r="L299" i="4" s="1"/>
  <c r="K97" i="4"/>
  <c r="H97" i="4"/>
  <c r="L97" i="4" s="1"/>
  <c r="H298" i="4"/>
  <c r="L298" i="4" s="1"/>
  <c r="K298" i="4"/>
  <c r="K294" i="4"/>
  <c r="H294" i="4"/>
  <c r="L294" i="4" s="1"/>
  <c r="K301" i="4"/>
  <c r="H301" i="4"/>
  <c r="L301" i="4" s="1"/>
  <c r="M287" i="4"/>
  <c r="J287" i="4"/>
  <c r="N287" i="4" s="1"/>
  <c r="M290" i="4"/>
  <c r="J290" i="4"/>
  <c r="N290" i="4" s="1"/>
  <c r="M288" i="4"/>
  <c r="J288" i="4"/>
  <c r="N288" i="4" s="1"/>
  <c r="M294" i="4"/>
  <c r="J294" i="4"/>
  <c r="N294" i="4" s="1"/>
  <c r="K99" i="4"/>
  <c r="H99" i="4"/>
  <c r="L99" i="4" s="1"/>
  <c r="K95" i="4"/>
  <c r="H95" i="4"/>
  <c r="L95" i="4" s="1"/>
  <c r="K93" i="4"/>
  <c r="H93" i="4"/>
  <c r="L93" i="4" s="1"/>
  <c r="H130" i="4"/>
  <c r="L130" i="4" s="1"/>
  <c r="K130" i="4"/>
  <c r="H106" i="4"/>
  <c r="L106" i="4" s="1"/>
  <c r="K106" i="4"/>
  <c r="K123" i="4"/>
  <c r="H123" i="4"/>
  <c r="L123" i="4" s="1"/>
  <c r="K103" i="4"/>
  <c r="H103" i="4"/>
  <c r="L103" i="4" s="1"/>
  <c r="H129" i="4"/>
  <c r="L129" i="4" s="1"/>
  <c r="K129" i="4"/>
  <c r="H100" i="4"/>
  <c r="L100" i="4" s="1"/>
  <c r="K100" i="4"/>
  <c r="K288" i="4"/>
  <c r="H288" i="4"/>
  <c r="L288" i="4" s="1"/>
  <c r="H289" i="4"/>
  <c r="L289" i="4" s="1"/>
  <c r="K289" i="4"/>
  <c r="J295" i="4"/>
  <c r="N295" i="4" s="1"/>
  <c r="M295" i="4"/>
  <c r="K296" i="4"/>
  <c r="H296" i="4"/>
  <c r="L296" i="4" s="1"/>
  <c r="H286" i="4"/>
  <c r="L286" i="4" s="1"/>
  <c r="K286" i="4"/>
  <c r="K300" i="4"/>
  <c r="H300" i="4"/>
  <c r="L300" i="4" s="1"/>
  <c r="H302" i="4"/>
  <c r="L302" i="4" s="1"/>
  <c r="K302" i="4"/>
  <c r="K292" i="4"/>
  <c r="H292" i="4"/>
  <c r="L292" i="4" s="1"/>
  <c r="M299" i="4"/>
  <c r="J299" i="4"/>
  <c r="N299" i="4" s="1"/>
  <c r="H121" i="4"/>
  <c r="L121" i="4" s="1"/>
  <c r="K121" i="4"/>
  <c r="K107" i="4"/>
  <c r="H107" i="4"/>
  <c r="L107" i="4" s="1"/>
  <c r="K127" i="4"/>
  <c r="H127" i="4"/>
  <c r="L127" i="4" s="1"/>
  <c r="K110" i="4"/>
  <c r="H110" i="4"/>
  <c r="L110" i="4" s="1"/>
  <c r="H134" i="4"/>
  <c r="L134" i="4" s="1"/>
  <c r="K134" i="4"/>
  <c r="L88" i="4"/>
  <c r="K105" i="4"/>
  <c r="H105" i="4"/>
  <c r="L105" i="4" s="1"/>
  <c r="H116" i="4"/>
  <c r="L116" i="4" s="1"/>
  <c r="K116" i="4"/>
  <c r="H101" i="4"/>
  <c r="L101" i="4" s="1"/>
  <c r="K101" i="4"/>
  <c r="H94" i="4"/>
  <c r="L94" i="4" s="1"/>
  <c r="K94" i="4"/>
  <c r="H92" i="4"/>
  <c r="L92" i="4" s="1"/>
  <c r="K92" i="4"/>
  <c r="H287" i="4"/>
  <c r="L287" i="4" s="1"/>
  <c r="K287" i="4"/>
  <c r="M284" i="4"/>
  <c r="J284" i="4"/>
  <c r="N284" i="4" s="1"/>
  <c r="M298" i="4"/>
  <c r="J298" i="4"/>
  <c r="N298" i="4" s="1"/>
  <c r="K303" i="4"/>
  <c r="H303" i="4"/>
  <c r="L303" i="4" s="1"/>
  <c r="J289" i="4"/>
  <c r="N289" i="4" s="1"/>
  <c r="M289" i="4"/>
  <c r="J303" i="4"/>
  <c r="N303" i="4" s="1"/>
  <c r="M303" i="4"/>
  <c r="K290" i="4"/>
  <c r="H290" i="4"/>
  <c r="L290" i="4" s="1"/>
  <c r="J301" i="4"/>
  <c r="N301" i="4" s="1"/>
  <c r="M301" i="4"/>
  <c r="M293" i="4"/>
  <c r="J293" i="4"/>
  <c r="N293" i="4" s="1"/>
  <c r="M297" i="4"/>
  <c r="J297" i="4"/>
  <c r="N297" i="4" s="1"/>
  <c r="K118" i="4"/>
  <c r="H118" i="4"/>
  <c r="L118" i="4" s="1"/>
  <c r="H120" i="4"/>
  <c r="L120" i="4" s="1"/>
  <c r="K120" i="4"/>
  <c r="K98" i="4"/>
  <c r="H98" i="4"/>
  <c r="L98" i="4" s="1"/>
  <c r="M296" i="4"/>
  <c r="J296" i="4"/>
  <c r="N296" i="4" s="1"/>
  <c r="K295" i="4"/>
  <c r="H295" i="4"/>
  <c r="L295" i="4" s="1"/>
  <c r="K284" i="4"/>
  <c r="H284" i="4"/>
  <c r="L284" i="4" s="1"/>
  <c r="M292" i="4"/>
  <c r="J292" i="4"/>
  <c r="N292" i="4" s="1"/>
  <c r="H293" i="4"/>
  <c r="L293" i="4" s="1"/>
  <c r="K293" i="4"/>
  <c r="M286" i="4"/>
  <c r="J286" i="4"/>
  <c r="N286" i="4" s="1"/>
  <c r="K291" i="4"/>
  <c r="H291" i="4"/>
  <c r="L291" i="4" s="1"/>
  <c r="M291" i="4"/>
  <c r="J291" i="4"/>
  <c r="N291" i="4" s="1"/>
  <c r="J261" i="4" l="1"/>
  <c r="N261" i="4" s="1"/>
  <c r="N280" i="4" s="1"/>
  <c r="M261" i="4"/>
  <c r="M280" i="4" s="1"/>
  <c r="L208" i="4"/>
  <c r="K208" i="4"/>
  <c r="L232" i="4"/>
  <c r="L136" i="4"/>
  <c r="L304" i="4"/>
  <c r="N304" i="4"/>
  <c r="K112" i="4"/>
  <c r="K304" i="4"/>
  <c r="M304" i="4"/>
  <c r="L112" i="4"/>
  <c r="K136" i="4"/>
  <c r="G305" i="4" l="1"/>
  <c r="D11" i="8"/>
  <c r="E11" i="8" l="1"/>
  <c r="E14" i="8" s="1"/>
  <c r="E15" i="8" s="1"/>
  <c r="E23" i="8" s="1"/>
  <c r="E25" i="8" s="1"/>
  <c r="F25" i="8" s="1"/>
  <c r="C11" i="8"/>
  <c r="E12" i="8" l="1"/>
  <c r="E13" i="8" s="1"/>
  <c r="E22" i="8" s="1"/>
</calcChain>
</file>

<file path=xl/sharedStrings.xml><?xml version="1.0" encoding="utf-8"?>
<sst xmlns="http://schemas.openxmlformats.org/spreadsheetml/2006/main" count="1124" uniqueCount="476">
  <si>
    <t>Температура зовнішнього повітря, град С</t>
  </si>
  <si>
    <t>Січень</t>
  </si>
  <si>
    <t>Лютий</t>
  </si>
  <si>
    <t>Березень</t>
  </si>
  <si>
    <t>Квітень (ОП)</t>
  </si>
  <si>
    <t>Квітень (МОП)</t>
  </si>
  <si>
    <t>Травень</t>
  </si>
  <si>
    <t>Червень</t>
  </si>
  <si>
    <t>Липень</t>
  </si>
  <si>
    <t>Серпень</t>
  </si>
  <si>
    <t>Вересень</t>
  </si>
  <si>
    <t>Жовтень (МОП)</t>
  </si>
  <si>
    <t>Жовтень (ОП)</t>
  </si>
  <si>
    <t>Листопад</t>
  </si>
  <si>
    <t>Грудень</t>
  </si>
  <si>
    <t>Гкал</t>
  </si>
  <si>
    <t>Температурат в подавальному трубопроводі, град С</t>
  </si>
  <si>
    <t>Температура змішування, град С</t>
  </si>
  <si>
    <t>СНіП</t>
  </si>
  <si>
    <t>Ду, мм</t>
  </si>
  <si>
    <t>Дзов, мм</t>
  </si>
  <si>
    <t>Вихідні дані для розрахунку:</t>
  </si>
  <si>
    <t>Для мереж, робота яких передбачена  цілорічно</t>
  </si>
  <si>
    <t>Для мереж, які працюють О.П.</t>
  </si>
  <si>
    <t>Температура грунта, град С</t>
  </si>
  <si>
    <t>Кількість днів роботи системи теплопостачання</t>
  </si>
  <si>
    <t>Діаметр умовний</t>
  </si>
  <si>
    <t>Діаметр зовнішній</t>
  </si>
  <si>
    <t>Довжина непоперед-ньо ізольова-них трубо-проводів (темп.граф 1)</t>
  </si>
  <si>
    <t>Довжина  попередньо ізольованих трубопрово-дів (темп. граф 1)</t>
  </si>
  <si>
    <t>Питомі втрати т.е. непоперед-ньоізольова-них трубопро-водів (темп. граф 1)</t>
  </si>
  <si>
    <t>Питомі втрати т.е. попередньо-ізольованих трубопрово-дів (темп. граф 1)</t>
  </si>
  <si>
    <t>Питомі втрати т.е. непоперед-ньоізольова-них трубопро-водів (темп. граф 2)</t>
  </si>
  <si>
    <t>Питомі втрати т.е. попередньо-ізольованих трубопров-дів (темп. граф2)</t>
  </si>
  <si>
    <t>Втрати т.е. з охолоджен-ням непопе-редньоізольо-ваних трубо-проводів (темп. граф1)</t>
  </si>
  <si>
    <t>Втрати т.е. з охолоджен-ням поперед-ньоізольова-них трубопро-водів (темп.граф1)</t>
  </si>
  <si>
    <t>Втрати т.е. з охолоджен-ням непопе-редньоізольо-ваних трубо-проводів (темп.граф2)</t>
  </si>
  <si>
    <t>Втрати т.е. з охолоджен-ням поперед-ньоізольо-ваних трубо-проводів (темп.граф2)</t>
  </si>
  <si>
    <t>Втрати т.е. з витоком теплоносія (темп граф 1)</t>
  </si>
  <si>
    <t>Втрати т.е. з витоком теплоносія (темп граф 2)</t>
  </si>
  <si>
    <t>мм</t>
  </si>
  <si>
    <t>м</t>
  </si>
  <si>
    <t xml:space="preserve">ккал/м/год </t>
  </si>
  <si>
    <t>м.куб./добу</t>
  </si>
  <si>
    <t>х</t>
  </si>
  <si>
    <t>Усього розподільчі тр-пров. ГВП надземної прокладки</t>
  </si>
  <si>
    <t>Усього магістраль підземної прокладки у непрох. каналах</t>
  </si>
  <si>
    <t>Усього магістраль безканальної прокладки</t>
  </si>
  <si>
    <t>Усього магістраль подачі надземної  прокладки</t>
  </si>
  <si>
    <t>Усього магістраль зворотня надземної  прокладки</t>
  </si>
  <si>
    <t>Усього розподільчі          тр-пров. у непрохідн. каналах</t>
  </si>
  <si>
    <t>Усього розподільчі    тр-пров. опалення  безканальної прокладки</t>
  </si>
  <si>
    <t>Усього розподільчі   тр-пров. подачі надземної  прокладки</t>
  </si>
  <si>
    <t>Усього розподільчі зворотні тр-пров. надземної  прокладки</t>
  </si>
  <si>
    <t>Довжина непоперед-ньо ізольова-них трубо-проводів (Подача)</t>
  </si>
  <si>
    <t>Довжина  попередньо ізольованих трубопрово-дів (Подача)</t>
  </si>
  <si>
    <t>Довжина непоперед-ньо ізольо-ваних трубо-проводів (Циркуляційні))</t>
  </si>
  <si>
    <t>Довжина  попередньо ізольованих трубопрово-дів (Циркуляційні)</t>
  </si>
  <si>
    <t>Усього розподільчі тр-пров. ГВП підземної прокладки</t>
  </si>
  <si>
    <t>Усього розподільчі опалення  безка-нальної прокладки</t>
  </si>
  <si>
    <t>Загальні втрати теплової енергії у теплових мережах, приєднаних до котельної з охолодженням теплоносія, Гкал</t>
  </si>
  <si>
    <t xml:space="preserve"> </t>
  </si>
  <si>
    <t xml:space="preserve">Злам температурногографіку розраховується вручну </t>
  </si>
  <si>
    <r>
      <t xml:space="preserve">Магістральні теплові мережі в </t>
    </r>
    <r>
      <rPr>
        <b/>
        <sz val="11"/>
        <color indexed="42"/>
        <rFont val="Times New Roman"/>
        <family val="1"/>
        <charset val="204"/>
      </rPr>
      <t>непрохідних каналах</t>
    </r>
    <r>
      <rPr>
        <b/>
        <sz val="11"/>
        <color indexed="8"/>
        <rFont val="Times New Roman"/>
        <family val="1"/>
        <charset val="204"/>
      </rPr>
      <t>, по яким транспортується теплова енергія і на потреби опалення і на потреби ГВП (передбачається цілорічне функціонування) та які побудовані, відремонтовані або модернізовані після 1990 року</t>
    </r>
  </si>
  <si>
    <r>
      <t>Магістральні теплові мережі</t>
    </r>
    <r>
      <rPr>
        <b/>
        <sz val="11"/>
        <color indexed="42"/>
        <rFont val="Times New Roman"/>
        <family val="1"/>
        <charset val="204"/>
      </rPr>
      <t xml:space="preserve"> безканальної </t>
    </r>
    <r>
      <rPr>
        <b/>
        <sz val="11"/>
        <color indexed="8"/>
        <rFont val="Times New Roman"/>
        <family val="1"/>
        <charset val="204"/>
      </rPr>
      <t>прокладки, по яким транспортується теплова енергія і на потреби опалення і на потреби ГВП (передбачається цілорічне функціонування) та які побудовані, відремонтовані або модернізовані після 1990 року</t>
    </r>
  </si>
  <si>
    <r>
      <t xml:space="preserve">Магістральні </t>
    </r>
    <r>
      <rPr>
        <b/>
        <sz val="11"/>
        <color indexed="42"/>
        <rFont val="Times New Roman"/>
        <family val="1"/>
        <charset val="204"/>
      </rPr>
      <t>подавальні</t>
    </r>
    <r>
      <rPr>
        <b/>
        <sz val="11"/>
        <color indexed="8"/>
        <rFont val="Times New Roman"/>
        <family val="1"/>
        <charset val="204"/>
      </rPr>
      <t xml:space="preserve"> трубопроводи розміщені на відкритому повітрі, по яким транспортується теплова енергія і на потреби опалення і на потреби ГВП (передбачається цілорічне функціонування) та які побудовані, відремонтовані або модернізовані після 1990 року</t>
    </r>
  </si>
  <si>
    <r>
      <t xml:space="preserve">Магістральні </t>
    </r>
    <r>
      <rPr>
        <b/>
        <sz val="11"/>
        <color indexed="42"/>
        <rFont val="Times New Roman"/>
        <family val="1"/>
        <charset val="204"/>
      </rPr>
      <t xml:space="preserve">зворотні </t>
    </r>
    <r>
      <rPr>
        <b/>
        <sz val="11"/>
        <color indexed="8"/>
        <rFont val="Times New Roman"/>
        <family val="1"/>
        <charset val="204"/>
      </rPr>
      <t>трубопроводи розміщені на відкритому повітрі, по яким транспортується теплова енергія і на потреби опалення і на потреби ГВП (передбачається цілорічне функціонування) та які побудовані, відремонтовані або модернізовані після 1990 року</t>
    </r>
  </si>
  <si>
    <r>
      <t>Розподільчі трубопроводи</t>
    </r>
    <r>
      <rPr>
        <b/>
        <sz val="11"/>
        <color indexed="36"/>
        <rFont val="Times New Roman"/>
        <family val="1"/>
        <charset val="204"/>
      </rPr>
      <t xml:space="preserve"> ГВП </t>
    </r>
    <r>
      <rPr>
        <b/>
        <sz val="11"/>
        <color indexed="8"/>
        <rFont val="Times New Roman"/>
        <family val="1"/>
        <charset val="204"/>
      </rPr>
      <t>розміщені на відкритому повітрі, по яким транспортується теплова енергія виключно на потреби ГВП (передбачається цілорічне функціонування) та які побудовані, відремонтовані або модернізовані після 1990 року</t>
    </r>
  </si>
  <si>
    <r>
      <t>Розподільчі теплові мережі</t>
    </r>
    <r>
      <rPr>
        <b/>
        <sz val="11"/>
        <color indexed="36"/>
        <rFont val="Times New Roman"/>
        <family val="1"/>
        <charset val="204"/>
      </rPr>
      <t xml:space="preserve"> ГВП</t>
    </r>
    <r>
      <rPr>
        <b/>
        <sz val="11"/>
        <color indexed="8"/>
        <rFont val="Times New Roman"/>
        <family val="1"/>
        <charset val="204"/>
      </rPr>
      <t xml:space="preserve"> безканальної прокладки, по яким транспортується теплова енергія виключно на потреби ГВП (передбачається цілорічне функціонування) та які побудовані, відремонтовані або модернізовані після 1990 року</t>
    </r>
  </si>
  <si>
    <r>
      <rPr>
        <b/>
        <sz val="11"/>
        <color indexed="47"/>
        <rFont val="Times New Roman"/>
        <family val="1"/>
        <charset val="204"/>
      </rPr>
      <t>Розміщені на відкритому повітрі розподільчі зворотні</t>
    </r>
    <r>
      <rPr>
        <b/>
        <sz val="11"/>
        <color indexed="8"/>
        <rFont val="Times New Roman"/>
        <family val="1"/>
        <charset val="204"/>
      </rPr>
      <t xml:space="preserve"> теплові мережі, по яким трансортується теплова енергія виключно на потреби опалення (передбачається функціонування виключно в опалювальний період),  побудовані, відремонтовані або модернізовані після 1990 року</t>
    </r>
  </si>
  <si>
    <r>
      <rPr>
        <b/>
        <sz val="11"/>
        <color indexed="47"/>
        <rFont val="Times New Roman"/>
        <family val="1"/>
        <charset val="204"/>
      </rPr>
      <t>Розміщені на відкритому повітрі розподільчі подавальні</t>
    </r>
    <r>
      <rPr>
        <b/>
        <sz val="11"/>
        <color indexed="8"/>
        <rFont val="Times New Roman"/>
        <family val="1"/>
        <charset val="204"/>
      </rPr>
      <t xml:space="preserve"> теплові мережі, по яким трансортується теплова енергія виключно на потреби опалення (передбачається функціонування виключно в опалювальний період),  побудовані, відремонтовані або модернізовані після 1990 року</t>
    </r>
  </si>
  <si>
    <r>
      <t xml:space="preserve">Розподільчі теплові мережі </t>
    </r>
    <r>
      <rPr>
        <b/>
        <sz val="11"/>
        <color indexed="47"/>
        <rFont val="Times New Roman"/>
        <family val="1"/>
        <charset val="204"/>
      </rPr>
      <t>безканальної прокладки</t>
    </r>
    <r>
      <rPr>
        <b/>
        <sz val="11"/>
        <color indexed="8"/>
        <rFont val="Times New Roman"/>
        <family val="1"/>
        <charset val="204"/>
      </rPr>
      <t>, по яким трансортується теплова енергія виключно на потреби опалення (передбачається функціонування виключно в опалювальний період), побудовані, відремонтовані або модернізовані після 1990 року</t>
    </r>
  </si>
  <si>
    <r>
      <t xml:space="preserve">Розподільчі теплові мережі </t>
    </r>
    <r>
      <rPr>
        <b/>
        <sz val="11"/>
        <color indexed="47"/>
        <rFont val="Times New Roman"/>
        <family val="1"/>
        <charset val="204"/>
      </rPr>
      <t>в непрохідних каналах</t>
    </r>
    <r>
      <rPr>
        <b/>
        <sz val="11"/>
        <color indexed="8"/>
        <rFont val="Times New Roman"/>
        <family val="1"/>
        <charset val="204"/>
      </rPr>
      <t>, по яким трансортується теплова енергія виключно на потреби опалення (передбачається функціонування виключно в опалювальний період), побудовані, відремонтовані або модернізовані після 1990 року</t>
    </r>
  </si>
  <si>
    <t>Температура в зворотному трубопроводі, град С</t>
  </si>
  <si>
    <t>Температура холодної п"ятиденки</t>
  </si>
  <si>
    <t>Температурний графік без зламу</t>
  </si>
  <si>
    <t>Температурний графік зі зламом</t>
  </si>
  <si>
    <t>Для показників трубопроводів, які працюють опалювальний період</t>
  </si>
  <si>
    <t xml:space="preserve">Втрати т.е. з витоком теплоносія </t>
  </si>
  <si>
    <t>Температура в тр.проводі ГВП</t>
  </si>
  <si>
    <t>Температура в тр.проводі циркуляційному</t>
  </si>
  <si>
    <t>Коефіцієнт тепловіддачі від трубопроводу до зовнішнього повітря</t>
  </si>
  <si>
    <t>Товщина ізоляції подавального трубопроводу</t>
  </si>
  <si>
    <t>Товщина ізоляції  зворотного трубопроводу</t>
  </si>
  <si>
    <t>Товщина ізоляції трубопроводу ГВС</t>
  </si>
  <si>
    <t>Товщина ізоляції циркуляційного  трубопроводу ГВС</t>
  </si>
  <si>
    <t>Коефіцієнт теплопроводності  ізоляції подавального трубопроводу</t>
  </si>
  <si>
    <t>Коефіцієнт теплопроводності  ізоляції звортотного трубопроводу</t>
  </si>
  <si>
    <t>Коефіцієнт теплопроводності  ізоляції  трубопроводу ГВС</t>
  </si>
  <si>
    <t>Коефіцієнт теплопроводності  ізоляції  циркуляційного  трубопроводу ГВС</t>
  </si>
  <si>
    <t>Питомі теплові втрати подавального трубопроводу</t>
  </si>
  <si>
    <t>Питомі теплові втрати звортотного  трубопроводу</t>
  </si>
  <si>
    <t>град С</t>
  </si>
  <si>
    <t>Вт/м.кв/год</t>
  </si>
  <si>
    <t>Вт/м/град С</t>
  </si>
  <si>
    <t>Показник</t>
  </si>
  <si>
    <t>од. виміру</t>
  </si>
  <si>
    <t>Надземна прокладка</t>
  </si>
  <si>
    <t>Глибина залягання осі трубопровода підземної прокладки</t>
  </si>
  <si>
    <t>Х</t>
  </si>
  <si>
    <t>Ширина внутрішня каналу</t>
  </si>
  <si>
    <t>Висота внутрішня каналу</t>
  </si>
  <si>
    <t>Ширина стінки каналу</t>
  </si>
  <si>
    <t>Температура води у подавальному трубопроводі</t>
  </si>
  <si>
    <t>Температура води у зворотному трубопроводі</t>
  </si>
  <si>
    <t>Коефіцієнт тепловіддачі від трубопроводу до  повітря у каналі та від повітря до стінки каналу</t>
  </si>
  <si>
    <t>Коефіціент теплопровідності грунта</t>
  </si>
  <si>
    <t>м.кв*град С/Вт</t>
  </si>
  <si>
    <t>Підземна безка нальна прокалад    ка</t>
  </si>
  <si>
    <t>Коефіціент теплопровідності матеріалу каналу</t>
  </si>
  <si>
    <t>Діаметр каналу еквівалентний зовнішній</t>
  </si>
  <si>
    <t>Діаметр каналу еквівалентний внутрішній</t>
  </si>
  <si>
    <t xml:space="preserve">Приведене значення подавального трубопроводу </t>
  </si>
  <si>
    <t xml:space="preserve">Приведене значення зворотноготрубопроводу </t>
  </si>
  <si>
    <t>Приведене значення трубопроводу ГВП</t>
  </si>
  <si>
    <t>Приведене значення циркуляційного трубопроводу ГВП</t>
  </si>
  <si>
    <t>Вт/м.кв/град С</t>
  </si>
  <si>
    <t>Приведене значення каналу</t>
  </si>
  <si>
    <t>Загальний термічний опір каналу, ут.ч.:</t>
  </si>
  <si>
    <t>термічний опір від повітря до стінки каналу</t>
  </si>
  <si>
    <t>термічний опір стінки каналу</t>
  </si>
  <si>
    <t>розрахунок термічного опору массиву грунта у випадку заглиблення перекриття каналу більше 0,7 м</t>
  </si>
  <si>
    <t>розрахунок термічного опору массиву грунта у випадку заглиблення перекриття каналу менше 0,7 м</t>
  </si>
  <si>
    <t>Приведене значення залягання осі трубопроводу при заглибленні перекриття каналу менше ніж на 0,7 м.</t>
  </si>
  <si>
    <t>ккал/год/м.пог</t>
  </si>
  <si>
    <t>ккал/год /м.пог</t>
  </si>
  <si>
    <t>Відстань між осями трубопроводів подаючого і зворотного</t>
  </si>
  <si>
    <t>Відстань між осями трубопроводів зворотного і ГВП</t>
  </si>
  <si>
    <t>Відстань між осями трубопроводів ГВП і циркуляційного ГВП</t>
  </si>
  <si>
    <t xml:space="preserve">Термічний опір  подавального трубопроводу/для бк лише ізоляції </t>
  </si>
  <si>
    <t xml:space="preserve">Термічний опір  звортотного  трубопроводу/для бк лише ізоляції </t>
  </si>
  <si>
    <t xml:space="preserve">Термічний опір  циркуляційного трубопроводу ГВП/для бк лише ізоляції </t>
  </si>
  <si>
    <t xml:space="preserve">Термічний опір теплоізоляції трубопроводу ГВП/для бк лише ізоляції </t>
  </si>
  <si>
    <t>Взаємний вплив між под і звор</t>
  </si>
  <si>
    <t>Вз впли між зв і ГВП</t>
  </si>
  <si>
    <t>Вз вплив між ГВП і Ц ГВП</t>
  </si>
  <si>
    <t>Термічний опір грунта для подвального трубопровода</t>
  </si>
  <si>
    <t>Термічний опір грунта для зворотоного трубопровода</t>
  </si>
  <si>
    <t>Термічний опір грунта для трубопровода ГВП</t>
  </si>
  <si>
    <t>Термічний опір грунта для циркуляційного трубопровода ГВП</t>
  </si>
  <si>
    <t>Діаметр зовнішній подавального трубопроводу</t>
  </si>
  <si>
    <t>Діаметр зовнішній зворотного трубопроводу</t>
  </si>
  <si>
    <t>Діаметр зовнішній трубопроводу ГВС</t>
  </si>
  <si>
    <t>Діаметр зовнішній циркуляційного трубопроводу ГВС</t>
  </si>
  <si>
    <t>Існуюча схема пркладки теплової мережі</t>
  </si>
  <si>
    <t>Прокладка підземна в нпрохідних каналах</t>
  </si>
  <si>
    <t>№ з/п</t>
  </si>
  <si>
    <t>Питомі втрати т.е. непоперед-ньоізольова-них трубопро-водів ГВП</t>
  </si>
  <si>
    <t>Питомі втрати т.е. попередньо-ізольованих трубопрово-дів ГВП</t>
  </si>
  <si>
    <t>Питомі втрати т.е. непоперед-ньоізольова-них трубопро-водів Циркуляц. ГВП</t>
  </si>
  <si>
    <t>Питомі втрати т.е. попередньо-ізольованих трубопров-дів Циркуляц ГВП</t>
  </si>
  <si>
    <t>Втрати т.е. з охолоджен-ням непопе-редньоізольо-ваних трубо-проводів ГВП</t>
  </si>
  <si>
    <t>Втрати т.е. з охолоджен-ням поперед-ньоізольова-них трубопро-водів ГВП</t>
  </si>
  <si>
    <t>Втрати т.е. з охолоджен-ням непопе-редньоізольо-ваних трубо-проводів Циркуляц ГВП</t>
  </si>
  <si>
    <t>Втрати т.е. з охолоджен-ням поперед-ньоізольо-ваних трубо-проводів Циркуляц ГВП</t>
  </si>
  <si>
    <t>Пропонована схема після реалізації ІП</t>
  </si>
  <si>
    <t>Температурний графік</t>
  </si>
  <si>
    <t xml:space="preserve">Розрахунок нормативних втрат теплової енергії з охолодженням за нормаи СНіПу </t>
  </si>
  <si>
    <t>Фактичні умови роботи</t>
  </si>
  <si>
    <t>Нормативні показники роботи до введення ІП</t>
  </si>
  <si>
    <t>Показники роботи після введення ІП</t>
  </si>
  <si>
    <t>Економія палива від впровадження ІП у порівнянні з фактичними умовами роботи, кг.у.п.</t>
  </si>
  <si>
    <t>Зменшення витрат фактичної собівартості за рахунок економії палива від впровадження ІП у порівнянні з фактичними умовами роботи, грн/рік</t>
  </si>
  <si>
    <t>Економія палива від впровадження ІП у порівнянні з нормативними умовами роботи існуючої теплової мережі, кг.у.п.</t>
  </si>
  <si>
    <t>Вартість усунення аварії на ділянці, що підлягає заміні</t>
  </si>
  <si>
    <t>Втрати теплової енергії на ділянці теплової мережі, що планується реконструювати у розрахунку на рік, Гкал</t>
  </si>
  <si>
    <t xml:space="preserve">Залізобетон </t>
  </si>
  <si>
    <t xml:space="preserve">Бетон на гравію або щебені з природного каменю </t>
  </si>
  <si>
    <t>3.2. Розчини будівельні</t>
  </si>
  <si>
    <t>Розчин цементно-піщаний</t>
  </si>
  <si>
    <t>Розчин складний</t>
  </si>
  <si>
    <t xml:space="preserve"> (пісок, вапно, цемент)</t>
  </si>
  <si>
    <t>Розчин вапняно-піщаний</t>
  </si>
  <si>
    <t>Назва матеріалу</t>
  </si>
  <si>
    <t>Характеристика в сухому стані</t>
  </si>
  <si>
    <t>Розрахунковий вміст вологи за масою в умовах експлуатації</t>
  </si>
  <si>
    <r>
      <t>w</t>
    </r>
    <r>
      <rPr>
        <sz val="10"/>
        <color indexed="8"/>
        <rFont val="Times New Roman"/>
        <family val="1"/>
        <charset val="204"/>
      </rPr>
      <t>, %</t>
    </r>
  </si>
  <si>
    <t>Розрахункові характеристики в умовах експлуатації</t>
  </si>
  <si>
    <t>густина,</t>
  </si>
  <si>
    <t>,</t>
  </si>
  <si>
    <r>
      <t xml:space="preserve"> кг/м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</si>
  <si>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питома теплоєм-</t>
  </si>
  <si>
    <t xml:space="preserve">ність, </t>
  </si>
  <si>
    <r>
      <t>с</t>
    </r>
    <r>
      <rPr>
        <i/>
        <vertAlign val="subscript"/>
        <sz val="10"/>
        <color indexed="8"/>
        <rFont val="Times New Roman"/>
        <family val="1"/>
        <charset val="204"/>
      </rPr>
      <t>0</t>
    </r>
    <r>
      <rPr>
        <i/>
        <sz val="10"/>
        <color indexed="8"/>
        <rFont val="Times New Roman"/>
        <family val="1"/>
        <charset val="204"/>
      </rPr>
      <t xml:space="preserve"> ,</t>
    </r>
  </si>
  <si>
    <t>кДж/(кг К)</t>
  </si>
  <si>
    <t>теплопро-відність</t>
  </si>
  <si>
    <t>Вт/(м К)</t>
  </si>
  <si>
    <t xml:space="preserve">теплопровідність, </t>
  </si>
  <si>
    <r>
      <t>λ</t>
    </r>
    <r>
      <rPr>
        <vertAlign val="subscript"/>
        <sz val="10"/>
        <color indexed="8"/>
        <rFont val="Times New Roman"/>
        <family val="1"/>
        <charset val="204"/>
      </rPr>
      <t>р</t>
    </r>
    <r>
      <rPr>
        <i/>
        <vertAlign val="subscript"/>
        <sz val="10"/>
        <color indexed="8"/>
        <rFont val="Times New Roman"/>
        <family val="1"/>
        <charset val="204"/>
      </rPr>
      <t>,</t>
    </r>
    <r>
      <rPr>
        <sz val="10"/>
        <color indexed="8"/>
        <rFont val="Times New Roman"/>
        <family val="1"/>
        <charset val="204"/>
      </rPr>
      <t xml:space="preserve"> Вт/(м К)</t>
    </r>
  </si>
  <si>
    <t xml:space="preserve">коефіцієнт теплозасвоєння, </t>
  </si>
  <si>
    <r>
      <t>s, Вт/(м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К)</t>
    </r>
  </si>
  <si>
    <t>коефіцієнт паропро-</t>
  </si>
  <si>
    <t xml:space="preserve">никності </t>
  </si>
  <si>
    <t>мг/(м год Па)</t>
  </si>
  <si>
    <t>А</t>
  </si>
  <si>
    <t>Б</t>
  </si>
  <si>
    <t>А,Б</t>
  </si>
  <si>
    <t>ДОДАТОК Л (обов’язковий) РОЗРАХУНКОВІ ТЕПЛОФІЗИЧНІ ХАРАКТЕРИСТИКИ БУДІВЕЛЬНИХ МАТЕРІАЛІВ</t>
  </si>
  <si>
    <t xml:space="preserve">
ДЕРЖАВНІ  БУДІВЕЛЬНІ  НОРМИ  УКРАЇНИ Конструкції будинків і споруд ТЕПЛОВА ІЗОЛЯЦІЯ БУДІВЕЛЬ
ДБН В.2.6-31:2006</t>
  </si>
  <si>
    <t>Коефіцієнти теплопровідності ґрунтів в залежності від ступеня зволоження</t>
  </si>
  <si>
    <t>Вид ґрунту</t>
  </si>
  <si>
    <r>
      <t>Коефіцієнт теплопровідності ґрунту λ</t>
    </r>
    <r>
      <rPr>
        <vertAlign val="subscript"/>
        <sz val="12"/>
        <color indexed="8"/>
        <rFont val="Times New Roman"/>
        <family val="1"/>
        <charset val="204"/>
      </rPr>
      <t>гр</t>
    </r>
    <r>
      <rPr>
        <sz val="12"/>
        <color indexed="8"/>
        <rFont val="Times New Roman"/>
        <family val="1"/>
        <charset val="204"/>
      </rPr>
      <t>, ккал/м·год·°С</t>
    </r>
  </si>
  <si>
    <t>сухого</t>
  </si>
  <si>
    <t>вологого</t>
  </si>
  <si>
    <t>водонасиченого</t>
  </si>
  <si>
    <t>1. Пісок, супісь</t>
  </si>
  <si>
    <t>2. Глина, суглинок</t>
  </si>
  <si>
    <t>3. Гравій, щебінь</t>
  </si>
  <si>
    <t xml:space="preserve">Строительные нормы и правила Тепловая изоляция оборудования и трубопроводов СНиП 2.04.14-88 </t>
  </si>
  <si>
    <t>РАСЧЕТНЫЕ ТЕХНИЧЕСКИЕ ХАРАКТЕРИСТИКИ ТЕПЛОИЗОЛЯЦИОННЫХ МАТЕРИАЛОВ И ИЗДЕЛИЙ</t>
  </si>
  <si>
    <t>Материал, изделие, ГОСТ или ТУ</t>
  </si>
  <si>
    <r>
      <t xml:space="preserve">Средняя плотность в конструкции </t>
    </r>
    <r>
      <rPr>
        <sz val="9"/>
        <color indexed="8"/>
        <rFont val="Symbol"/>
        <family val="1"/>
        <charset val="2"/>
      </rPr>
      <t>r</t>
    </r>
    <r>
      <rPr>
        <sz val="9"/>
        <color indexed="8"/>
        <rFont val="Times New Roman"/>
        <family val="1"/>
        <charset val="204"/>
      </rPr>
      <t>, кг/м</t>
    </r>
    <r>
      <rPr>
        <vertAlign val="superscript"/>
        <sz val="9"/>
        <color indexed="8"/>
        <rFont val="Times New Roman"/>
        <family val="1"/>
        <charset val="204"/>
      </rPr>
      <t>3</t>
    </r>
  </si>
  <si>
    <r>
      <t xml:space="preserve">Теплопроводность теплоизоляционного материала в конструкции </t>
    </r>
    <r>
      <rPr>
        <sz val="9"/>
        <color indexed="8"/>
        <rFont val="Symbol"/>
        <family val="1"/>
        <charset val="2"/>
      </rPr>
      <t>l</t>
    </r>
    <r>
      <rPr>
        <vertAlign val="subscript"/>
        <sz val="9"/>
        <color indexed="8"/>
        <rFont val="Times New Roman"/>
        <family val="1"/>
        <charset val="204"/>
      </rPr>
      <t>k</t>
    </r>
    <r>
      <rPr>
        <sz val="9"/>
        <color indexed="8"/>
        <rFont val="Times New Roman"/>
        <family val="1"/>
        <charset val="204"/>
      </rPr>
      <t>, Вт/(м</t>
    </r>
    <r>
      <rPr>
        <sz val="9"/>
        <color indexed="8"/>
        <rFont val="Symbol"/>
        <family val="1"/>
        <charset val="2"/>
      </rPr>
      <t>×°</t>
    </r>
    <r>
      <rPr>
        <sz val="9"/>
        <color indexed="8"/>
        <rFont val="Times New Roman"/>
        <family val="1"/>
        <charset val="204"/>
      </rPr>
      <t>С)</t>
    </r>
  </si>
  <si>
    <r>
      <t xml:space="preserve">Температура применения, </t>
    </r>
    <r>
      <rPr>
        <sz val="9"/>
        <color indexed="8"/>
        <rFont val="Symbol"/>
        <family val="1"/>
        <charset val="2"/>
      </rPr>
      <t>°</t>
    </r>
    <r>
      <rPr>
        <sz val="9"/>
        <color indexed="8"/>
        <rFont val="Times New Roman"/>
        <family val="1"/>
        <charset val="204"/>
      </rPr>
      <t>С</t>
    </r>
  </si>
  <si>
    <t>Группа горючести</t>
  </si>
  <si>
    <r>
      <t xml:space="preserve">для поверхностей с температурой, </t>
    </r>
    <r>
      <rPr>
        <sz val="9"/>
        <color indexed="8"/>
        <rFont val="Symbol"/>
        <family val="1"/>
        <charset val="2"/>
      </rPr>
      <t>°</t>
    </r>
    <r>
      <rPr>
        <sz val="9"/>
        <color indexed="8"/>
        <rFont val="Times New Roman"/>
        <family val="1"/>
        <charset val="204"/>
      </rPr>
      <t>С</t>
    </r>
  </si>
  <si>
    <t>20 и выше</t>
  </si>
  <si>
    <t>19 и ниже</t>
  </si>
  <si>
    <t>Изделия из пенопласта ФРП-1 и резопена, ГОСТ 22546-77, группы:</t>
  </si>
  <si>
    <t>65-85</t>
  </si>
  <si>
    <t>86-110</t>
  </si>
  <si>
    <r>
      <t>0,041+0,00023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</si>
  <si>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0,043+0,00019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</si>
  <si>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0,051-0,045</t>
  </si>
  <si>
    <t>0,057-0,051</t>
  </si>
  <si>
    <t>От минус 180 до 130</t>
  </si>
  <si>
    <t>От минус 180 до 150</t>
  </si>
  <si>
    <t>Трудногорючие</t>
  </si>
  <si>
    <t>Изделия перлитоцементные ГОСТ 18109-80, марки:</t>
  </si>
  <si>
    <r>
      <t>0,07+0,00019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</si>
  <si>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0,076+0,00019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</si>
  <si>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0,081+0,00019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</si>
  <si>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-</t>
  </si>
  <si>
    <t>От 20 до 600</t>
  </si>
  <si>
    <t>Негорючие</t>
  </si>
  <si>
    <t>Изделия теплоизоляционные известково-кремнеземистые, ГОСТ 24748-81, марки:</t>
  </si>
  <si>
    <r>
      <t>0,069+0,00015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</si>
  <si>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0,078+0, 00015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</si>
  <si>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Изделия минераловатные с гофрированной структурой для промышленной тепловой изоляции, ТУ 36.16.22-8-86, марки:</t>
  </si>
  <si>
    <t>В зависимос-ти от диамет-ра изолируе-мой поверх-ности</t>
  </si>
  <si>
    <t>От 66 до 98</t>
  </si>
  <si>
    <t>“ 84 “ 130</t>
  </si>
  <si>
    <r>
      <t>0,041+0,00034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</si>
  <si>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0,042+0,0003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</si>
  <si>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0,054-0,05</t>
  </si>
  <si>
    <t>От минус 60 до 400</t>
  </si>
  <si>
    <t>Изделия теплоизоляционные вулканитовые, ГОСТ 10179-74, марки:</t>
  </si>
  <si>
    <r>
      <t>0,074+0,00015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</si>
  <si>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0,079+0,00015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</si>
  <si>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0,084+0,00015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</si>
  <si>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 xml:space="preserve">Маты звукопоглощающие базальтовые марки БЗМ, РСТ УССР 1977-87 </t>
  </si>
  <si>
    <t>До 80</t>
  </si>
  <si>
    <r>
      <t>0,04+0,0003t</t>
    </r>
    <r>
      <rPr>
        <vertAlign val="subscript"/>
        <sz val="9"/>
        <color indexed="8"/>
        <rFont val="Times New Roman"/>
        <family val="1"/>
        <charset val="204"/>
      </rPr>
      <t>m</t>
    </r>
  </si>
  <si>
    <t>От минус 180 до 450 в оболочке из ткани стеклянной; до 700 - в оболочке из кремнеземной ткани</t>
  </si>
  <si>
    <t>Маты минераловатные прошивные, ГОСТ 21880-86,        марки:</t>
  </si>
  <si>
    <t>102-132</t>
  </si>
  <si>
    <t>133-162</t>
  </si>
  <si>
    <r>
      <t>0,045+0,00021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</si>
  <si>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0,049+0,0002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</si>
  <si>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0,059-0,054</t>
  </si>
  <si>
    <t>От минус 180 до 450 для матов на ткани, сетке, холсте из стекловолокна; до 700 - на металлической основе</t>
  </si>
  <si>
    <t xml:space="preserve">Негорючие </t>
  </si>
  <si>
    <t>Маты из стеклянного штапельного волокна на синтетическом свя-зующем ГОСТ 10499-78, марки:</t>
  </si>
  <si>
    <t>МС-35</t>
  </si>
  <si>
    <t>МС-50</t>
  </si>
  <si>
    <t>40-56</t>
  </si>
  <si>
    <t>58-80</t>
  </si>
  <si>
    <r>
      <t>0,04+0,0003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</si>
  <si>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0,042+0,00028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</si>
  <si>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От минус 60 до 180</t>
  </si>
  <si>
    <r>
      <t xml:space="preserve">Температу-ра применения, </t>
    </r>
    <r>
      <rPr>
        <sz val="9"/>
        <color indexed="8"/>
        <rFont val="Symbol"/>
        <family val="1"/>
        <charset val="2"/>
      </rPr>
      <t>°</t>
    </r>
    <r>
      <rPr>
        <sz val="9"/>
        <color indexed="8"/>
        <rFont val="Times New Roman"/>
        <family val="1"/>
        <charset val="204"/>
      </rPr>
      <t>С</t>
    </r>
  </si>
  <si>
    <t>Маты и вата из супертонкого стеклянного волокна без связующего ТУ 21 РСФСР 224-87</t>
  </si>
  <si>
    <t>60-80</t>
  </si>
  <si>
    <r>
      <t>0,033+0,00014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</si>
  <si>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0,044-0,037</t>
  </si>
  <si>
    <t>От минус 180 до 400</t>
  </si>
  <si>
    <t>Плиты теплоизоляционные из минеральной ваты на синтетическом связующем ГОСТ 9573-82, марки:</t>
  </si>
  <si>
    <t>55-75</t>
  </si>
  <si>
    <t>75-115</t>
  </si>
  <si>
    <t>90-150</t>
  </si>
  <si>
    <t>150-210</t>
  </si>
  <si>
    <r>
      <t>0,04+0,00029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</si>
  <si>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0,043+0,00022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</si>
  <si>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0,044+0,00021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</si>
  <si>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0,052+0,0002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</si>
  <si>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0,06-0,054</t>
  </si>
  <si>
    <t>Плиты из стеклянного штапельного волокна полужесткие, технические, ГОСТ 10499-78, марки:</t>
  </si>
  <si>
    <t>ППТ-50</t>
  </si>
  <si>
    <t>ППТ-75</t>
  </si>
  <si>
    <t>42-58</t>
  </si>
  <si>
    <t>59-86</t>
  </si>
  <si>
    <r>
      <t>0,042+0,00035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</si>
  <si>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0,044+0,00023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</si>
  <si>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Плиты теплоизоляционные из минеральной ваты на битумном связующем, ГОСТ 10140-80, марки:</t>
  </si>
  <si>
    <t>90-120</t>
  </si>
  <si>
    <t>121-180</t>
  </si>
  <si>
    <t>151-200</t>
  </si>
  <si>
    <t>0,054-0,057</t>
  </si>
  <si>
    <t>0,058-0,062</t>
  </si>
  <si>
    <t>0,061-0,066</t>
  </si>
  <si>
    <t>От минус 100 до 60</t>
  </si>
  <si>
    <t>Марки 75- негорючие; остальные - горючие</t>
  </si>
  <si>
    <t>Плиты теплоизоляционные из пенопласта на основе резольных фенолформальдегидных смол, ГОСТ 20916-87, марки:</t>
  </si>
  <si>
    <t>Не более 50</t>
  </si>
  <si>
    <t>Св. 70 до 80</t>
  </si>
  <si>
    <t>Св. 80 до 100</t>
  </si>
  <si>
    <r>
      <t>0,040+0,00022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</si>
  <si>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0,042+0,00023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</si>
  <si>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0,049-0,042</t>
  </si>
  <si>
    <t>Полотна холстопрошивные стекловолокнистые, ТУ 6-48-0209777-1-88, марки:</t>
  </si>
  <si>
    <t>ХПС-Т-5</t>
  </si>
  <si>
    <t>ХПС-Т-2,5</t>
  </si>
  <si>
    <t>180-320</t>
  </si>
  <si>
    <t>130-230</t>
  </si>
  <si>
    <r>
      <t>0,047+0,00023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</si>
  <si>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0,053-0,047</t>
  </si>
  <si>
    <t>От минус 200 до 550</t>
  </si>
  <si>
    <t>Песок перлитовый вспученный мелкий, ГОСТ 10832-83, марки:</t>
  </si>
  <si>
    <r>
      <t>0,052+0,00012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</si>
  <si>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0,055+0,00012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</si>
  <si>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0,058+0,00012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</si>
  <si>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0,05-0,042 0,054-0,047</t>
  </si>
  <si>
    <t>От минус 200 до 875</t>
  </si>
  <si>
    <t>Негорючий</t>
  </si>
  <si>
    <t>Полуцилиндры и цилиндры минераловатные на синтетическом связующем, ГОСТ 23208-83, марки:</t>
  </si>
  <si>
    <t>75-125</t>
  </si>
  <si>
    <t>126-175</t>
  </si>
  <si>
    <t>176-225</t>
  </si>
  <si>
    <r>
      <t>0,049+0,00021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</si>
  <si>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0,051+0,0002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</si>
  <si>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0,053+0,00019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</si>
  <si>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0,047-0,053</t>
  </si>
  <si>
    <t>0,054-0,059</t>
  </si>
  <si>
    <t>0,062-0,057</t>
  </si>
  <si>
    <t>Плиты пенополистирольные ГОСТ 15588-86, марки:</t>
  </si>
  <si>
    <t>30, 40</t>
  </si>
  <si>
    <t>0,048-0,04</t>
  </si>
  <si>
    <t>0,044-0,035</t>
  </si>
  <si>
    <t>0,042-0,032</t>
  </si>
  <si>
    <t>От минус 180 до 70</t>
  </si>
  <si>
    <t>Горючие</t>
  </si>
  <si>
    <t>Пенопласт плиточный, ТУ 6-05-1178-87, марки:</t>
  </si>
  <si>
    <t>ПС-4-40</t>
  </si>
  <si>
    <t>ПС-4-60</t>
  </si>
  <si>
    <t>ПС-4-65</t>
  </si>
  <si>
    <t>0,041-0,032</t>
  </si>
  <si>
    <t>0,048-0,039</t>
  </si>
  <si>
    <t>От минус 180 до 60</t>
  </si>
  <si>
    <t>Горючий</t>
  </si>
  <si>
    <t>Пенопласт плиточный ПХВ, ТУ 6-05-1179-83, марки:</t>
  </si>
  <si>
    <t>ПХВ-1-85</t>
  </si>
  <si>
    <t>ПХВ-1-115</t>
  </si>
  <si>
    <t>ПХВ-2-150</t>
  </si>
  <si>
    <t>0,04-0,03</t>
  </si>
  <si>
    <t>0,043-0,032</t>
  </si>
  <si>
    <t>0,047-0,036</t>
  </si>
  <si>
    <t>Пенопласт плиточный марки ПВ-1, ТУ 6-05-1158-87</t>
  </si>
  <si>
    <t>65, 95</t>
  </si>
  <si>
    <t>Пенопласт поливинилхлоридный эластичный ПВХ-Э, ТУ 6-05-1269-75</t>
  </si>
  <si>
    <t>0,05-0,04</t>
  </si>
  <si>
    <t>Пенопласт термореактивный ФК-20 и ФФ, жесткий, ТУ 6-05-1303-76, марки:</t>
  </si>
  <si>
    <t>ФК-20</t>
  </si>
  <si>
    <t>ФФ</t>
  </si>
  <si>
    <t>170, 200</t>
  </si>
  <si>
    <t>0,055-0,052</t>
  </si>
  <si>
    <t>От 0 до 120</t>
  </si>
  <si>
    <t>От минус 60 до 150</t>
  </si>
  <si>
    <t>Трудногорючий</t>
  </si>
  <si>
    <t>Пенополиуретан ППУ-331/3(заливочный)</t>
  </si>
  <si>
    <t>40-60</t>
  </si>
  <si>
    <t>0,036-0,031</t>
  </si>
  <si>
    <t>0,037-0,032</t>
  </si>
  <si>
    <t>От минус 180 до 120</t>
  </si>
  <si>
    <t>Пенопласт пенополиуретановый эластичный ППУ-ЭТ, ТУ 6-05-1734-75</t>
  </si>
  <si>
    <t>40-50</t>
  </si>
  <si>
    <t>0,043-0,038</t>
  </si>
  <si>
    <t>От минус 60 до 100</t>
  </si>
  <si>
    <t>Полотно иглопробивное стеклянное теплоизоляционное марки ИПС-Т-1000, ТУ 6-11-570-83</t>
  </si>
  <si>
    <t>Негорючее</t>
  </si>
  <si>
    <t>Ровинг (жгут) из стеклянных комплексных нитей, ГОСТ 17139-79</t>
  </si>
  <si>
    <t>200-250</t>
  </si>
  <si>
    <t>0,065-0,062</t>
  </si>
  <si>
    <t>От минус 180 до 450</t>
  </si>
  <si>
    <t>Шнур асбестовый, ГОСТ 1779-83,марки:</t>
  </si>
  <si>
    <t>ШАП</t>
  </si>
  <si>
    <t>ШАОН</t>
  </si>
  <si>
    <t>100-160</t>
  </si>
  <si>
    <t>750-600</t>
  </si>
  <si>
    <r>
      <t>0,093+0,0002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</si>
  <si>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0,13+0,00026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</si>
  <si>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От 20 до 220</t>
  </si>
  <si>
    <t>От 20 до 400</t>
  </si>
  <si>
    <t>Шнур теплоизоляционный из минеральной ваты, ТУ 36-1695-79, марки:</t>
  </si>
  <si>
    <r>
      <t>0,056+0,00019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</si>
  <si>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r>
      <t>0,058+0,00019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</si>
  <si>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0,069-0,068</t>
  </si>
  <si>
    <t>От минус 180 до 600 в зависимости от материала сетчатой трубки</t>
  </si>
  <si>
    <t>В сетчатых трубках из металлической проволоки и нити стеклянной - негорючий; остальной - трудногорючий</t>
  </si>
  <si>
    <t>Холсты из микро-ультрасупертонкого стекломикрокристаллического штапельного волокна из горных пород, РСТ УССР 1970-86, марка БСТВ-ст</t>
  </si>
  <si>
    <r>
      <t>0,041+0,00029</t>
    </r>
    <r>
      <rPr>
        <i/>
        <sz val="9"/>
        <color indexed="8"/>
        <rFont val="Times New Roman"/>
        <family val="1"/>
        <charset val="204"/>
      </rPr>
      <t>t</t>
    </r>
    <r>
      <rPr>
        <i/>
        <vertAlign val="subscript"/>
        <sz val="9"/>
        <color indexed="8"/>
        <rFont val="Times New Roman"/>
        <family val="1"/>
        <charset val="204"/>
      </rPr>
      <t>m</t>
    </r>
  </si>
  <si>
    <t>От минус 269 до 600</t>
  </si>
  <si>
    <r>
      <t xml:space="preserve">Примечания: 1. </t>
    </r>
    <r>
      <rPr>
        <i/>
        <sz val="8"/>
        <color indexed="8"/>
        <rFont val="Times New Roman"/>
        <family val="1"/>
        <charset val="204"/>
      </rPr>
      <t>t</t>
    </r>
    <r>
      <rPr>
        <i/>
        <vertAlign val="subscript"/>
        <sz val="8"/>
        <color indexed="8"/>
        <rFont val="Times New Roman"/>
        <family val="1"/>
        <charset val="204"/>
      </rPr>
      <t>m</t>
    </r>
    <r>
      <rPr>
        <sz val="8"/>
        <color indexed="8"/>
        <rFont val="Times New Roman"/>
        <family val="1"/>
        <charset val="204"/>
      </rPr>
      <t xml:space="preserve"> - средняя температура теплоизоляционного слоя, </t>
    </r>
    <r>
      <rPr>
        <sz val="8"/>
        <color indexed="8"/>
        <rFont val="Symbol"/>
        <family val="1"/>
        <charset val="2"/>
      </rPr>
      <t>°</t>
    </r>
    <r>
      <rPr>
        <sz val="8"/>
        <color indexed="8"/>
        <rFont val="Times New Roman"/>
        <family val="1"/>
        <charset val="204"/>
      </rPr>
      <t xml:space="preserve">С ; </t>
    </r>
  </si>
  <si>
    <t xml:space="preserve">- на открытом воздухе в летнее время, в помещении, в каналах, тоннелях, технических подпольях, на чердаках и в подвалах зданий; </t>
  </si>
  <si>
    <r>
      <t xml:space="preserve">- на открытом воздухе в зимнее время, где </t>
    </r>
    <r>
      <rPr>
        <i/>
        <sz val="8"/>
        <color indexed="8"/>
        <rFont val="Times New Roman"/>
        <family val="1"/>
        <charset val="204"/>
      </rPr>
      <t>t</t>
    </r>
    <r>
      <rPr>
        <i/>
        <vertAlign val="subscript"/>
        <sz val="8"/>
        <color indexed="8"/>
        <rFont val="Times New Roman"/>
        <family val="1"/>
        <charset val="204"/>
      </rPr>
      <t>w</t>
    </r>
    <r>
      <rPr>
        <sz val="8"/>
        <color indexed="8"/>
        <rFont val="Times New Roman"/>
        <family val="1"/>
        <charset val="204"/>
      </rPr>
      <t xml:space="preserve"> - температура вещества.</t>
    </r>
  </si>
  <si>
    <r>
      <t xml:space="preserve">2. Большее значение расчетной теплопроводности теплоизоляционного материала в конструкции для поверхностей с температурой 19 </t>
    </r>
    <r>
      <rPr>
        <sz val="8"/>
        <color indexed="8"/>
        <rFont val="Symbol"/>
        <family val="1"/>
        <charset val="2"/>
      </rPr>
      <t>°</t>
    </r>
    <r>
      <rPr>
        <sz val="8"/>
        <color indexed="8"/>
        <rFont val="Times New Roman"/>
        <family val="1"/>
        <charset val="204"/>
      </rPr>
      <t xml:space="preserve">С и ниже относится к температуре вещества от минус 60 до 20 </t>
    </r>
    <r>
      <rPr>
        <sz val="8"/>
        <color indexed="8"/>
        <rFont val="Symbol"/>
        <family val="1"/>
        <charset val="2"/>
      </rPr>
      <t>°</t>
    </r>
    <r>
      <rPr>
        <sz val="8"/>
        <color indexed="8"/>
        <rFont val="Times New Roman"/>
        <family val="1"/>
        <charset val="204"/>
      </rPr>
      <t xml:space="preserve">С, меньшее - к температуре минус 140 </t>
    </r>
    <r>
      <rPr>
        <sz val="8"/>
        <color indexed="8"/>
        <rFont val="Symbol"/>
        <family val="1"/>
        <charset val="2"/>
      </rPr>
      <t>°</t>
    </r>
    <r>
      <rPr>
        <sz val="8"/>
        <color indexed="8"/>
        <rFont val="Times New Roman"/>
        <family val="1"/>
        <charset val="204"/>
      </rPr>
      <t>С и ниже. Для промежуточных значений температур теплопроводность определяется интерполяцией.</t>
    </r>
  </si>
  <si>
    <t>3. При изоляции поверхностей с применением жестких плит расчетную теплопроводность следует увеличивать на 10%.</t>
  </si>
  <si>
    <t>4. Допускается применение других материалов, отвечающих требованиям пп. 2.3;  2.4.</t>
  </si>
  <si>
    <t>Довжина усіх труб ділянки, м</t>
  </si>
  <si>
    <r>
      <t xml:space="preserve">          </t>
    </r>
    <r>
      <rPr>
        <sz val="10"/>
        <color indexed="8"/>
        <rFont val="Arial"/>
        <family val="2"/>
        <charset val="204"/>
      </rPr>
      <t>ДОДАТОК Е</t>
    </r>
  </si>
  <si>
    <t>(довідковий)</t>
  </si>
  <si>
    <r>
      <t xml:space="preserve">                          </t>
    </r>
    <r>
      <rPr>
        <b/>
        <sz val="10"/>
        <color indexed="8"/>
        <rFont val="Arial"/>
        <family val="2"/>
        <charset val="204"/>
      </rPr>
      <t>ГРАНИЧНІ ТОВЩИНИ ТЕПЛОІЗОЛЯЦІЙНИХ КОНСТРУКЦІЙ ДЛЯ ОБЛАДНАННЯ ТРУБОПРОВОДІВ</t>
    </r>
  </si>
  <si>
    <t>Зовнішній діаметр сталевих труб, мм</t>
  </si>
  <si>
    <t>Спосіб прокладання трубопроводів</t>
  </si>
  <si>
    <t>надземний</t>
  </si>
  <si>
    <t>у тунелі</t>
  </si>
  <si>
    <t>у непрохідному каналі</t>
  </si>
  <si>
    <t>Граничні товщини теплоізоляційного шару, мм, за температури, °С</t>
  </si>
  <si>
    <t>20 і більше</t>
  </si>
  <si>
    <t>до 150 включно</t>
  </si>
  <si>
    <t>151 і більше</t>
  </si>
  <si>
    <t>1020 і більше</t>
  </si>
  <si>
    <r>
      <t>Примітка.</t>
    </r>
    <r>
      <rPr>
        <sz val="9"/>
        <color indexed="8"/>
        <rFont val="Arial"/>
        <family val="2"/>
        <charset val="204"/>
      </rPr>
      <t xml:space="preserve"> У випадках, коли розрахункова товщина ізоляції більше граничної, слід приймати більш ефективний теплоізоляційний матеріал та обмежитися граничною товщиною теплової ізоляції, якщо це допустимо за умовами технологічного процесу.</t>
    </r>
    <r>
      <rPr>
        <sz val="9"/>
        <color indexed="8"/>
        <rFont val="Arial"/>
        <family val="2"/>
        <charset val="204"/>
      </rPr>
      <t xml:space="preserve"> </t>
    </r>
  </si>
  <si>
    <t>Температура  повітря в каналі в опалювальний період</t>
  </si>
  <si>
    <t>Температура  повітря в каналі в міжопалювальний період</t>
  </si>
  <si>
    <t>Температура грунта на глибині розташування осі  трубопроводів підземної прокладки в опалювальний період</t>
  </si>
  <si>
    <t>Температура зовнішньо повітря в опалювальний період</t>
  </si>
  <si>
    <t>Температура зовнішньо повітря в міжопалювальний період</t>
  </si>
  <si>
    <t>Питомі теплові втрати трубопроводу ГВС в ОП</t>
  </si>
  <si>
    <t>Питомі теплові втрати циркуляційного трубопроводу ГВС в ОП</t>
  </si>
  <si>
    <t>№з/п</t>
  </si>
  <si>
    <t>Розподільчі теплові мережі</t>
  </si>
  <si>
    <t>подз до 5000</t>
  </si>
  <si>
    <t>безкан до 5</t>
  </si>
  <si>
    <t>надз до 5000</t>
  </si>
  <si>
    <t>подз более 5000</t>
  </si>
  <si>
    <t>безкан более 5000</t>
  </si>
  <si>
    <t>надз более 5000</t>
  </si>
  <si>
    <t>Для середніх за рік показників трубопроводів, які працюють цілорічно (магістраль)</t>
  </si>
  <si>
    <t>Температура в подавальному трубопроводі, град С (дані з листа "темп граф" )</t>
  </si>
  <si>
    <t>Температура повітря, виходячи з якої проектувалася ізоляція трубопроводів, град С</t>
  </si>
  <si>
    <t>Температура грунту, виходячи з якої проектувалася ізоляція трубопроводів, град С</t>
  </si>
  <si>
    <t>Без ПДВ</t>
  </si>
  <si>
    <t>Вартість зворотних матеріалів (металобрухт тощо), грн</t>
  </si>
  <si>
    <t>Зменшення витрат планової собівартості за рахунок економії палива від впровадження ІП у порівнянні з нормативними умовами роботи, грн/рік</t>
  </si>
  <si>
    <t>Температура грунта на глибині розташування осі  трубопроводів підземної прокладки в міжопалювальний період</t>
  </si>
  <si>
    <t>Температура в подавальному трубопроводі, град С</t>
  </si>
  <si>
    <t>Час роботи мереж опалення на рік, годин</t>
  </si>
  <si>
    <t>Трубопроводи, робота яких передбачена протягом усього року , так і протяго О.П. (розподільчі трубопроводи)</t>
  </si>
  <si>
    <t>Питомі теплові втрати трубопроводу ГВС в МОП</t>
  </si>
  <si>
    <t>Питомі теплові втрати циркуляційного трубопроводу ГВС в МОП</t>
  </si>
  <si>
    <t>Фактична питомаа питома витрата умовного палива, середньозважена по підприємству у розрахунку на обсяг відпуску в мережу теплової енергії , кг.у.п./Гкал</t>
  </si>
  <si>
    <t>Середня фактична вартість умовного палива  за попередній рік, грн/т.у.п.</t>
  </si>
  <si>
    <t>Прогнозна вартість умовна палива на поточний рік, грн./т.у.п.</t>
  </si>
  <si>
    <t>Амортизаційні відрахування у розрахунку на рік за податковим обліком, грн.</t>
  </si>
  <si>
    <t>Економічний ефект від впровадження ІП відносно фактичних умов роботи існуючої теплової мережі, грн</t>
  </si>
  <si>
    <t>Економічний ефект від впровадження ІП відносно нормативних умов роботи існуючої теплової мережі, грн</t>
  </si>
  <si>
    <t>Вартість реалізації заходу ІП, грн</t>
  </si>
  <si>
    <t>Термін окупності заходу ІП, роки</t>
  </si>
  <si>
    <t>Середня балансова вартість теплової мережі за податковим обліком, грн</t>
  </si>
  <si>
    <t>Кількість авараій (поривів) на теплових мережах за рік у відношенні до 1 км.теплових мереж, аварія/км</t>
  </si>
  <si>
    <t>Середня вартість усунення 1 аварії (пориву), грн.</t>
  </si>
  <si>
    <t>Нормативна температура зовнішнього повітря, град С (за даними ДСТУ  Н-Б-В 1.1.-27:2010)</t>
  </si>
  <si>
    <t>Нормативна кількість днів роботи системи теплопоста  чання(за даними ДСТУ  Н-Б-В 1.1.-27:2010)</t>
  </si>
  <si>
    <t>Отчет о совместимости для Еталон мережі 24.10.2014.xls</t>
  </si>
  <si>
    <t>Дата отчета: 13.01.2015 17:04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</si>
  <si>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</si>
  <si>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</si>
  <si>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</si>
  <si>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</si>
  <si>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 xml:space="preserve">Заміна тепломережі </t>
  </si>
  <si>
    <t xml:space="preserve">Заміна тепломережі  </t>
  </si>
  <si>
    <r>
      <t xml:space="preserve">Розподільчі теплові мережі </t>
    </r>
    <r>
      <rPr>
        <b/>
        <sz val="11"/>
        <color indexed="36"/>
        <rFont val="Times New Roman"/>
        <family val="1"/>
        <charset val="204"/>
      </rPr>
      <t xml:space="preserve">ГВП </t>
    </r>
    <r>
      <rPr>
        <b/>
        <sz val="11"/>
        <color indexed="8"/>
        <rFont val="Times New Roman"/>
        <family val="1"/>
        <charset val="204"/>
      </rPr>
      <t>в непрохідних каналах, по яким транспортується теплова енергія виключно на потреби ВП (передбачається цілорічне функціонування) та які побудовані, відремонтовані або модернізовані після 1990 року</t>
    </r>
  </si>
  <si>
    <t>Температура в трубопроводі ВП, град С</t>
  </si>
  <si>
    <t>Температура в циркуляційному трубопроводі ВП, град С</t>
  </si>
  <si>
    <t>Час роботи мереж ВП на рік, годин</t>
  </si>
  <si>
    <t>реконструкції теплової мережі від ТК-15 до КПЗ в межах відведення земельних ділянок без зміни цільового призначення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</si>
</sst>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00"/>
    <numFmt numFmtId="167" formatCode="#,##0.0"/>
  </numFmts>
  <fonts count="57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b/>
      <sz val="11"/>
      <color indexed="14"/>
      <name val="Times New Roman"/>
      <family val="1"/>
      <charset val="204"/>
    </font>
    <font>
      <sz val="11"/>
      <color indexed="14"/>
      <name val="Times New Roman"/>
      <family val="1"/>
      <charset val="204"/>
    </font>
    <font>
      <b/>
      <sz val="11"/>
      <color indexed="42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indexed="4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i/>
      <vertAlign val="subscript"/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Symbol"/>
      <family val="1"/>
      <charset val="2"/>
    </font>
    <font>
      <vertAlign val="superscript"/>
      <sz val="9"/>
      <color indexed="8"/>
      <name val="Times New Roman"/>
      <family val="1"/>
      <charset val="204"/>
    </font>
    <font>
      <vertAlign val="subscript"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vertAlign val="subscript"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vertAlign val="subscript"/>
      <sz val="8"/>
      <color indexed="8"/>
      <name val="Times New Roman"/>
      <family val="1"/>
      <charset val="204"/>
    </font>
    <font>
      <sz val="8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7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6">
    <xf numFmtId="0" fontId="0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9" fontId="10" fillId="0" borderId="0" applyFont="0" applyFill="0" applyBorder="0" applyAlignment="0" applyProtection="0"/>
  </cellStyleXfs>
  <cellXfs count="537">
    <xf numFmtId="0" fontId="0" fillId="0" borderId="0" xfId="0"/>
    <xf numFmtId="0" fontId="3" fillId="0" borderId="0" xfId="0" applyFont="1" applyAlignment="1"/>
    <xf numFmtId="0" fontId="2" fillId="0" borderId="0" xfId="0" applyFont="1" applyBorder="1" applyAlignme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165" fontId="9" fillId="0" borderId="0" xfId="0" applyNumberFormat="1" applyFont="1" applyAlignment="1">
      <alignment horizontal="center"/>
    </xf>
    <xf numFmtId="2" fontId="12" fillId="0" borderId="1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Border="1" applyProtection="1">
      <protection locked="0"/>
    </xf>
    <xf numFmtId="2" fontId="13" fillId="0" borderId="1" xfId="3" applyNumberFormat="1" applyFont="1" applyBorder="1" applyAlignment="1">
      <alignment horizontal="center" vertical="center" wrapText="1"/>
    </xf>
    <xf numFmtId="164" fontId="14" fillId="0" borderId="1" xfId="3" applyNumberFormat="1" applyFont="1" applyBorder="1" applyAlignment="1">
      <alignment horizontal="center" vertical="center" wrapText="1"/>
    </xf>
    <xf numFmtId="164" fontId="13" fillId="0" borderId="1" xfId="3" applyNumberFormat="1" applyFont="1" applyBorder="1" applyAlignment="1">
      <alignment horizontal="center" vertical="center" wrapText="1"/>
    </xf>
    <xf numFmtId="2" fontId="13" fillId="0" borderId="1" xfId="3" applyNumberFormat="1" applyFont="1" applyBorder="1" applyAlignment="1" applyProtection="1">
      <alignment wrapText="1"/>
      <protection locked="0"/>
    </xf>
    <xf numFmtId="2" fontId="5" fillId="0" borderId="1" xfId="3" applyNumberFormat="1" applyFont="1" applyBorder="1" applyAlignment="1">
      <alignment wrapText="1"/>
    </xf>
    <xf numFmtId="0" fontId="5" fillId="0" borderId="1" xfId="3" applyFont="1" applyBorder="1" applyAlignment="1">
      <alignment wrapText="1"/>
    </xf>
    <xf numFmtId="0" fontId="13" fillId="0" borderId="2" xfId="3" applyFont="1" applyBorder="1" applyAlignment="1">
      <alignment horizontal="left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164" fontId="13" fillId="0" borderId="4" xfId="3" applyNumberFormat="1" applyFont="1" applyBorder="1" applyAlignment="1">
      <alignment horizontal="center" vertical="center" wrapText="1"/>
    </xf>
    <xf numFmtId="0" fontId="13" fillId="0" borderId="0" xfId="3" applyFont="1" applyBorder="1" applyAlignment="1">
      <alignment horizontal="left" vertical="center" wrapText="1"/>
    </xf>
    <xf numFmtId="2" fontId="13" fillId="0" borderId="1" xfId="3" applyNumberFormat="1" applyFont="1" applyBorder="1" applyAlignment="1">
      <alignment horizontal="right" vertical="center" wrapText="1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horizontal="center" vertical="center" wrapText="1"/>
    </xf>
    <xf numFmtId="2" fontId="13" fillId="0" borderId="5" xfId="3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164" fontId="5" fillId="0" borderId="0" xfId="3" applyNumberFormat="1" applyFont="1" applyAlignment="1">
      <alignment vertical="center" wrapText="1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/>
    </xf>
    <xf numFmtId="0" fontId="5" fillId="0" borderId="0" xfId="3" applyFont="1"/>
    <xf numFmtId="0" fontId="19" fillId="0" borderId="0" xfId="3" applyFont="1" applyAlignment="1">
      <alignment horizontal="left" vertical="center" wrapText="1"/>
    </xf>
    <xf numFmtId="0" fontId="19" fillId="0" borderId="0" xfId="3" applyFont="1" applyAlignment="1">
      <alignment vertical="center" wrapText="1"/>
    </xf>
    <xf numFmtId="0" fontId="20" fillId="0" borderId="0" xfId="3" applyFont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20" fillId="0" borderId="0" xfId="3" applyFont="1" applyAlignment="1">
      <alignment vertical="center"/>
    </xf>
    <xf numFmtId="0" fontId="5" fillId="0" borderId="0" xfId="3" applyFont="1" applyFill="1"/>
    <xf numFmtId="0" fontId="5" fillId="0" borderId="0" xfId="3" applyFont="1" applyAlignment="1">
      <alignment wrapText="1"/>
    </xf>
    <xf numFmtId="0" fontId="5" fillId="0" borderId="1" xfId="3" applyFont="1" applyBorder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0" fontId="5" fillId="3" borderId="1" xfId="3" applyFont="1" applyFill="1" applyBorder="1" applyAlignment="1">
      <alignment wrapText="1"/>
    </xf>
    <xf numFmtId="0" fontId="5" fillId="4" borderId="1" xfId="3" applyFont="1" applyFill="1" applyBorder="1" applyAlignment="1">
      <alignment wrapText="1"/>
    </xf>
    <xf numFmtId="0" fontId="14" fillId="0" borderId="0" xfId="3" applyFont="1" applyProtection="1">
      <protection locked="0"/>
    </xf>
    <xf numFmtId="0" fontId="5" fillId="0" borderId="0" xfId="3" applyFont="1" applyAlignment="1">
      <alignment horizontal="center" vertical="center"/>
    </xf>
    <xf numFmtId="2" fontId="5" fillId="0" borderId="1" xfId="3" applyNumberFormat="1" applyFont="1" applyFill="1" applyBorder="1" applyAlignment="1">
      <alignment horizontal="right" vertical="center" wrapText="1"/>
    </xf>
    <xf numFmtId="0" fontId="5" fillId="5" borderId="0" xfId="3" applyFont="1" applyFill="1" applyAlignment="1">
      <alignment horizontal="center" vertical="center"/>
    </xf>
    <xf numFmtId="2" fontId="5" fillId="0" borderId="0" xfId="3" applyNumberFormat="1" applyFont="1" applyAlignment="1">
      <alignment wrapText="1"/>
    </xf>
    <xf numFmtId="2" fontId="5" fillId="0" borderId="1" xfId="3" applyNumberFormat="1" applyFont="1" applyBorder="1" applyAlignment="1">
      <alignment horizontal="right" vertical="center" wrapText="1"/>
    </xf>
    <xf numFmtId="2" fontId="15" fillId="0" borderId="0" xfId="3" applyNumberFormat="1" applyFont="1" applyAlignment="1">
      <alignment wrapText="1"/>
    </xf>
    <xf numFmtId="9" fontId="15" fillId="0" borderId="0" xfId="5" applyFont="1" applyAlignment="1">
      <alignment wrapText="1"/>
    </xf>
    <xf numFmtId="0" fontId="5" fillId="0" borderId="0" xfId="0" applyFont="1" applyAlignment="1">
      <alignment wrapText="1"/>
    </xf>
    <xf numFmtId="165" fontId="23" fillId="6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Alignment="1"/>
    <xf numFmtId="2" fontId="11" fillId="7" borderId="1" xfId="0" applyNumberFormat="1" applyFont="1" applyFill="1" applyBorder="1" applyAlignment="1" applyProtection="1">
      <alignment horizontal="center"/>
      <protection locked="0"/>
    </xf>
    <xf numFmtId="0" fontId="19" fillId="0" borderId="0" xfId="3" applyFont="1" applyFill="1" applyAlignment="1"/>
    <xf numFmtId="0" fontId="15" fillId="0" borderId="0" xfId="3" applyNumberFormat="1" applyFont="1" applyFill="1" applyAlignment="1">
      <alignment wrapText="1"/>
    </xf>
    <xf numFmtId="0" fontId="19" fillId="0" borderId="0" xfId="3" applyFont="1" applyFill="1" applyAlignment="1">
      <alignment horizontal="left" wrapText="1"/>
    </xf>
    <xf numFmtId="164" fontId="5" fillId="0" borderId="0" xfId="3" applyNumberFormat="1" applyFont="1" applyAlignment="1">
      <alignment wrapText="1"/>
    </xf>
    <xf numFmtId="0" fontId="5" fillId="0" borderId="0" xfId="3" applyFont="1" applyAlignment="1">
      <alignment horizontal="left" wrapText="1"/>
    </xf>
    <xf numFmtId="0" fontId="5" fillId="0" borderId="1" xfId="3" applyFont="1" applyFill="1" applyBorder="1" applyAlignment="1">
      <alignment wrapText="1"/>
    </xf>
    <xf numFmtId="164" fontId="13" fillId="0" borderId="0" xfId="3" applyNumberFormat="1" applyFont="1" applyAlignment="1" applyProtection="1">
      <alignment wrapText="1"/>
      <protection locked="0"/>
    </xf>
    <xf numFmtId="0" fontId="14" fillId="0" borderId="0" xfId="3" applyFont="1" applyAlignment="1" applyProtection="1">
      <alignment horizontal="left" wrapText="1"/>
      <protection locked="0"/>
    </xf>
    <xf numFmtId="0" fontId="16" fillId="0" borderId="0" xfId="3" applyFont="1" applyAlignment="1">
      <alignment horizontal="left" wrapText="1"/>
    </xf>
    <xf numFmtId="2" fontId="5" fillId="7" borderId="4" xfId="3" applyNumberFormat="1" applyFont="1" applyFill="1" applyBorder="1" applyAlignment="1" applyProtection="1">
      <alignment horizontal="right" vertical="center" wrapText="1"/>
      <protection locked="0"/>
    </xf>
    <xf numFmtId="0" fontId="5" fillId="5" borderId="0" xfId="3" applyFont="1" applyFill="1" applyAlignment="1">
      <alignment horizontal="left" vertical="center" wrapText="1"/>
    </xf>
    <xf numFmtId="2" fontId="15" fillId="0" borderId="6" xfId="3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2" fontId="11" fillId="8" borderId="1" xfId="0" applyNumberFormat="1" applyFont="1" applyFill="1" applyBorder="1" applyProtection="1">
      <protection locked="0"/>
    </xf>
    <xf numFmtId="164" fontId="23" fillId="8" borderId="1" xfId="0" applyNumberFormat="1" applyFont="1" applyFill="1" applyBorder="1" applyAlignment="1">
      <alignment horizontal="center" wrapText="1"/>
    </xf>
    <xf numFmtId="164" fontId="23" fillId="7" borderId="5" xfId="0" applyNumberFormat="1" applyFont="1" applyFill="1" applyBorder="1" applyAlignment="1">
      <alignment horizontal="center" wrapText="1"/>
    </xf>
    <xf numFmtId="2" fontId="1" fillId="0" borderId="5" xfId="0" applyNumberFormat="1" applyFont="1" applyBorder="1" applyAlignment="1" applyProtection="1">
      <alignment horizontal="center"/>
      <protection locked="0"/>
    </xf>
    <xf numFmtId="165" fontId="0" fillId="0" borderId="5" xfId="0" applyNumberFormat="1" applyBorder="1" applyAlignment="1">
      <alignment horizontal="center" wrapText="1"/>
    </xf>
    <xf numFmtId="2" fontId="12" fillId="0" borderId="5" xfId="0" applyNumberFormat="1" applyFont="1" applyBorder="1" applyProtection="1">
      <protection locked="0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" fillId="7" borderId="1" xfId="0" applyNumberFormat="1" applyFont="1" applyFill="1" applyBorder="1" applyAlignment="1" applyProtection="1">
      <alignment horizontal="center"/>
      <protection locked="0"/>
    </xf>
    <xf numFmtId="165" fontId="23" fillId="0" borderId="1" xfId="0" applyNumberFormat="1" applyFont="1" applyBorder="1" applyAlignment="1">
      <alignment horizontal="center" wrapText="1"/>
    </xf>
    <xf numFmtId="2" fontId="13" fillId="7" borderId="1" xfId="3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3" fillId="0" borderId="1" xfId="3" applyNumberFormat="1" applyFont="1" applyFill="1" applyBorder="1" applyAlignment="1" applyProtection="1">
      <alignment wrapText="1"/>
      <protection locked="0"/>
    </xf>
    <xf numFmtId="2" fontId="0" fillId="0" borderId="5" xfId="0" applyNumberForma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13" fillId="0" borderId="1" xfId="3" applyFont="1" applyFill="1" applyBorder="1" applyAlignment="1" applyProtection="1">
      <alignment wrapText="1"/>
      <protection locked="0"/>
    </xf>
    <xf numFmtId="164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2" fontId="0" fillId="0" borderId="7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0" xfId="0" applyFont="1"/>
    <xf numFmtId="0" fontId="23" fillId="0" borderId="16" xfId="0" applyFont="1" applyBorder="1" applyAlignment="1">
      <alignment horizontal="left" vertical="center" wrapText="1"/>
    </xf>
    <xf numFmtId="2" fontId="23" fillId="0" borderId="9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2" fontId="23" fillId="0" borderId="12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5" fontId="23" fillId="0" borderId="7" xfId="0" applyNumberFormat="1" applyFont="1" applyFill="1" applyBorder="1" applyAlignment="1">
      <alignment horizontal="center" wrapText="1"/>
    </xf>
    <xf numFmtId="164" fontId="25" fillId="0" borderId="16" xfId="3" applyNumberFormat="1" applyFont="1" applyBorder="1" applyAlignment="1">
      <alignment wrapText="1"/>
    </xf>
    <xf numFmtId="2" fontId="13" fillId="0" borderId="7" xfId="3" applyNumberFormat="1" applyFont="1" applyBorder="1" applyAlignment="1" applyProtection="1">
      <alignment wrapText="1"/>
    </xf>
    <xf numFmtId="0" fontId="5" fillId="0" borderId="4" xfId="3" applyFont="1" applyBorder="1" applyAlignment="1">
      <alignment wrapText="1"/>
    </xf>
    <xf numFmtId="0" fontId="13" fillId="0" borderId="8" xfId="3" applyFont="1" applyBorder="1" applyAlignment="1">
      <alignment horizontal="center" wrapText="1"/>
    </xf>
    <xf numFmtId="0" fontId="13" fillId="0" borderId="9" xfId="3" applyFont="1" applyBorder="1" applyAlignment="1">
      <alignment horizontal="center" wrapText="1"/>
    </xf>
    <xf numFmtId="2" fontId="5" fillId="0" borderId="10" xfId="3" applyNumberFormat="1" applyFont="1" applyFill="1" applyBorder="1" applyAlignment="1">
      <alignment wrapText="1"/>
    </xf>
    <xf numFmtId="2" fontId="5" fillId="0" borderId="10" xfId="3" applyNumberFormat="1" applyFont="1" applyBorder="1" applyAlignment="1">
      <alignment wrapText="1"/>
    </xf>
    <xf numFmtId="0" fontId="5" fillId="0" borderId="10" xfId="3" applyFont="1" applyBorder="1" applyAlignment="1">
      <alignment wrapText="1"/>
    </xf>
    <xf numFmtId="2" fontId="13" fillId="7" borderId="10" xfId="3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9" fillId="0" borderId="32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0" fillId="0" borderId="36" xfId="0" applyBorder="1"/>
    <xf numFmtId="0" fontId="0" fillId="0" borderId="0" xfId="0" applyAlignment="1">
      <alignment vertical="top" wrapText="1"/>
    </xf>
    <xf numFmtId="0" fontId="0" fillId="0" borderId="37" xfId="0" applyBorder="1" applyAlignment="1">
      <alignment vertical="top" wrapText="1"/>
    </xf>
    <xf numFmtId="0" fontId="28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32" fillId="0" borderId="35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35" xfId="0" applyFont="1" applyBorder="1" applyAlignment="1">
      <alignment vertical="center" wrapText="1"/>
    </xf>
    <xf numFmtId="0" fontId="28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29" fillId="0" borderId="0" xfId="0" applyFont="1" applyAlignment="1">
      <alignment horizontal="justify" vertical="center"/>
    </xf>
    <xf numFmtId="0" fontId="29" fillId="0" borderId="33" xfId="0" applyFont="1" applyBorder="1" applyAlignment="1">
      <alignment vertical="center" wrapText="1"/>
    </xf>
    <xf numFmtId="0" fontId="29" fillId="0" borderId="33" xfId="0" applyFont="1" applyBorder="1" applyAlignment="1">
      <alignment horizontal="justify" vertical="center" wrapText="1"/>
    </xf>
    <xf numFmtId="0" fontId="39" fillId="0" borderId="0" xfId="0" applyFont="1" applyAlignment="1">
      <alignment horizontal="justify" vertical="center"/>
    </xf>
    <xf numFmtId="0" fontId="39" fillId="0" borderId="4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39" fillId="0" borderId="29" xfId="0" applyFont="1" applyBorder="1" applyAlignment="1">
      <alignment vertical="center" wrapText="1"/>
    </xf>
    <xf numFmtId="0" fontId="0" fillId="0" borderId="29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39" fillId="0" borderId="37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 wrapText="1"/>
    </xf>
    <xf numFmtId="0" fontId="39" fillId="0" borderId="33" xfId="0" applyFont="1" applyBorder="1" applyAlignment="1">
      <alignment vertical="center" wrapText="1"/>
    </xf>
    <xf numFmtId="0" fontId="39" fillId="0" borderId="38" xfId="0" applyFont="1" applyBorder="1" applyAlignment="1">
      <alignment vertical="center" wrapText="1"/>
    </xf>
    <xf numFmtId="0" fontId="39" fillId="0" borderId="39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39" fillId="0" borderId="36" xfId="0" applyFont="1" applyBorder="1" applyAlignment="1">
      <alignment vertical="center" wrapText="1"/>
    </xf>
    <xf numFmtId="0" fontId="36" fillId="0" borderId="0" xfId="0" applyFont="1" applyAlignment="1">
      <alignment horizontal="justify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8" xfId="0" applyBorder="1" applyAlignment="1">
      <alignment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0" fillId="0" borderId="44" xfId="0" applyBorder="1" applyAlignment="1">
      <alignment wrapText="1"/>
    </xf>
    <xf numFmtId="0" fontId="0" fillId="0" borderId="11" xfId="0" applyBorder="1" applyAlignment="1">
      <alignment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49" fillId="8" borderId="45" xfId="0" applyFont="1" applyFill="1" applyBorder="1" applyAlignment="1">
      <alignment horizontal="center" vertical="center" wrapText="1"/>
    </xf>
    <xf numFmtId="0" fontId="49" fillId="8" borderId="46" xfId="0" applyFont="1" applyFill="1" applyBorder="1" applyAlignment="1">
      <alignment horizontal="center" vertical="center" wrapText="1"/>
    </xf>
    <xf numFmtId="0" fontId="50" fillId="8" borderId="45" xfId="0" applyFont="1" applyFill="1" applyBorder="1" applyAlignment="1">
      <alignment horizontal="center" vertical="center" wrapText="1"/>
    </xf>
    <xf numFmtId="0" fontId="50" fillId="8" borderId="46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0" fillId="9" borderId="27" xfId="0" applyFill="1" applyBorder="1" applyAlignment="1">
      <alignment horizontal="center"/>
    </xf>
    <xf numFmtId="0" fontId="11" fillId="0" borderId="16" xfId="0" applyFont="1" applyBorder="1" applyAlignment="1">
      <alignment horizontal="left" vertical="center" wrapText="1"/>
    </xf>
    <xf numFmtId="0" fontId="0" fillId="0" borderId="31" xfId="0" applyBorder="1" applyAlignment="1">
      <alignment horizontal="center"/>
    </xf>
    <xf numFmtId="0" fontId="0" fillId="0" borderId="44" xfId="0" applyBorder="1" applyAlignment="1">
      <alignment horizontal="left" vertical="center" wrapText="1"/>
    </xf>
    <xf numFmtId="0" fontId="0" fillId="9" borderId="3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11" fillId="0" borderId="1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center"/>
    </xf>
    <xf numFmtId="0" fontId="27" fillId="0" borderId="44" xfId="0" applyFont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5" fillId="10" borderId="1" xfId="3" applyFont="1" applyFill="1" applyBorder="1" applyAlignment="1">
      <alignment wrapText="1"/>
    </xf>
    <xf numFmtId="0" fontId="5" fillId="10" borderId="47" xfId="3" applyFont="1" applyFill="1" applyBorder="1" applyAlignment="1">
      <alignment wrapText="1"/>
    </xf>
    <xf numFmtId="0" fontId="5" fillId="10" borderId="1" xfId="3" applyFont="1" applyFill="1" applyBorder="1"/>
    <xf numFmtId="0" fontId="5" fillId="0" borderId="47" xfId="3" applyFont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48" xfId="3" applyFont="1" applyFill="1" applyBorder="1" applyAlignment="1">
      <alignment vertical="center" wrapText="1"/>
    </xf>
    <xf numFmtId="164" fontId="5" fillId="2" borderId="4" xfId="3" applyNumberFormat="1" applyFont="1" applyFill="1" applyBorder="1" applyAlignment="1">
      <alignment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4" xfId="3" applyFont="1" applyFill="1" applyBorder="1" applyAlignment="1">
      <alignment vertical="center"/>
    </xf>
    <xf numFmtId="0" fontId="5" fillId="0" borderId="1" xfId="3" applyFont="1" applyFill="1" applyBorder="1"/>
    <xf numFmtId="0" fontId="5" fillId="9" borderId="1" xfId="3" applyFont="1" applyFill="1" applyBorder="1" applyAlignment="1">
      <alignment wrapText="1"/>
    </xf>
    <xf numFmtId="2" fontId="5" fillId="2" borderId="4" xfId="3" applyNumberFormat="1" applyFont="1" applyFill="1" applyBorder="1" applyAlignment="1">
      <alignment vertical="center"/>
    </xf>
    <xf numFmtId="0" fontId="4" fillId="0" borderId="0" xfId="0" applyFont="1" applyFill="1" applyAlignment="1"/>
    <xf numFmtId="0" fontId="6" fillId="0" borderId="0" xfId="0" applyFont="1" applyFill="1" applyAlignment="1">
      <alignment vertical="center"/>
    </xf>
    <xf numFmtId="0" fontId="0" fillId="0" borderId="49" xfId="0" applyBorder="1" applyAlignment="1">
      <alignment wrapText="1"/>
    </xf>
    <xf numFmtId="4" fontId="0" fillId="0" borderId="1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4" fontId="0" fillId="0" borderId="8" xfId="0" applyNumberForma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wrapText="1"/>
    </xf>
    <xf numFmtId="0" fontId="13" fillId="0" borderId="50" xfId="3" applyFont="1" applyBorder="1" applyAlignment="1">
      <alignment horizontal="center" vertical="center" wrapText="1"/>
    </xf>
    <xf numFmtId="0" fontId="13" fillId="0" borderId="51" xfId="3" applyFont="1" applyBorder="1" applyAlignment="1">
      <alignment horizontal="center" vertical="center" wrapText="1"/>
    </xf>
    <xf numFmtId="0" fontId="13" fillId="0" borderId="32" xfId="3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2" fontId="23" fillId="0" borderId="15" xfId="0" applyNumberFormat="1" applyFont="1" applyBorder="1" applyAlignment="1">
      <alignment vertical="center" wrapText="1"/>
    </xf>
    <xf numFmtId="2" fontId="23" fillId="0" borderId="17" xfId="0" applyNumberFormat="1" applyFont="1" applyBorder="1" applyAlignment="1">
      <alignment vertical="center" wrapText="1"/>
    </xf>
    <xf numFmtId="2" fontId="23" fillId="0" borderId="40" xfId="0" applyNumberFormat="1" applyFont="1" applyBorder="1" applyAlignment="1">
      <alignment vertical="center" wrapText="1"/>
    </xf>
    <xf numFmtId="2" fontId="23" fillId="0" borderId="33" xfId="0" applyNumberFormat="1" applyFont="1" applyBorder="1" applyAlignment="1">
      <alignment vertical="center" wrapText="1"/>
    </xf>
    <xf numFmtId="2" fontId="23" fillId="0" borderId="53" xfId="0" applyNumberFormat="1" applyFont="1" applyFill="1" applyBorder="1" applyAlignment="1">
      <alignment horizontal="center" vertical="center" wrapText="1"/>
    </xf>
    <xf numFmtId="4" fontId="0" fillId="7" borderId="1" xfId="0" applyNumberFormat="1" applyFill="1" applyBorder="1" applyAlignment="1" applyProtection="1">
      <alignment horizontal="center" vertical="center" wrapText="1"/>
      <protection locked="0"/>
    </xf>
    <xf numFmtId="166" fontId="0" fillId="7" borderId="4" xfId="0" applyNumberFormat="1" applyFill="1" applyBorder="1" applyAlignment="1" applyProtection="1">
      <alignment horizontal="center" vertical="center" wrapText="1"/>
      <protection locked="0"/>
    </xf>
    <xf numFmtId="4" fontId="0" fillId="7" borderId="5" xfId="0" applyNumberFormat="1" applyFill="1" applyBorder="1" applyAlignment="1" applyProtection="1">
      <alignment horizontal="center" vertical="center" wrapText="1"/>
      <protection locked="0"/>
    </xf>
    <xf numFmtId="4" fontId="0" fillId="7" borderId="10" xfId="0" applyNumberFormat="1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 applyProtection="1">
      <alignment horizontal="center" vertical="center" wrapText="1"/>
      <protection locked="0"/>
    </xf>
    <xf numFmtId="0" fontId="0" fillId="7" borderId="19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horizontal="center" vertical="center" wrapText="1"/>
      <protection locked="0"/>
    </xf>
    <xf numFmtId="0" fontId="0" fillId="7" borderId="11" xfId="0" applyFont="1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0" fontId="0" fillId="7" borderId="11" xfId="0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 applyProtection="1">
      <alignment horizontal="center" vertical="center" wrapText="1"/>
      <protection locked="0"/>
    </xf>
    <xf numFmtId="0" fontId="0" fillId="7" borderId="12" xfId="0" applyFill="1" applyBorder="1" applyAlignment="1" applyProtection="1">
      <alignment horizontal="center" vertical="center" wrapText="1"/>
      <protection locked="0"/>
    </xf>
    <xf numFmtId="165" fontId="9" fillId="7" borderId="1" xfId="0" applyNumberFormat="1" applyFont="1" applyFill="1" applyBorder="1" applyAlignment="1" applyProtection="1">
      <alignment horizontal="center" wrapText="1"/>
      <protection locked="0"/>
    </xf>
    <xf numFmtId="165" fontId="0" fillId="7" borderId="1" xfId="0" applyNumberFormat="1" applyFill="1" applyBorder="1" applyAlignment="1" applyProtection="1">
      <alignment horizont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1" fontId="0" fillId="7" borderId="1" xfId="0" applyNumberFormat="1" applyFill="1" applyBorder="1" applyAlignment="1" applyProtection="1">
      <alignment horizontal="center"/>
      <protection locked="0"/>
    </xf>
    <xf numFmtId="0" fontId="5" fillId="8" borderId="0" xfId="3" applyFont="1" applyFill="1" applyAlignment="1">
      <alignment vertical="center" wrapText="1"/>
    </xf>
    <xf numFmtId="164" fontId="5" fillId="8" borderId="0" xfId="3" applyNumberFormat="1" applyFont="1" applyFill="1" applyAlignment="1">
      <alignment vertical="center" wrapText="1"/>
    </xf>
    <xf numFmtId="0" fontId="15" fillId="8" borderId="0" xfId="3" applyNumberFormat="1" applyFont="1" applyFill="1" applyAlignment="1">
      <alignment wrapText="1"/>
    </xf>
    <xf numFmtId="0" fontId="5" fillId="8" borderId="0" xfId="3" applyFont="1" applyFill="1" applyAlignment="1">
      <alignment wrapText="1"/>
    </xf>
    <xf numFmtId="164" fontId="5" fillId="8" borderId="0" xfId="3" applyNumberFormat="1" applyFont="1" applyFill="1" applyAlignment="1">
      <alignment wrapText="1"/>
    </xf>
    <xf numFmtId="0" fontId="5" fillId="8" borderId="4" xfId="3" applyFont="1" applyFill="1" applyBorder="1" applyAlignment="1">
      <alignment vertical="center" wrapText="1"/>
    </xf>
    <xf numFmtId="1" fontId="5" fillId="8" borderId="4" xfId="3" applyNumberFormat="1" applyFont="1" applyFill="1" applyBorder="1" applyAlignment="1">
      <alignment vertical="center" wrapText="1"/>
    </xf>
    <xf numFmtId="0" fontId="5" fillId="8" borderId="1" xfId="3" applyFont="1" applyFill="1" applyBorder="1"/>
    <xf numFmtId="0" fontId="13" fillId="8" borderId="0" xfId="3" applyFont="1" applyFill="1" applyAlignment="1" applyProtection="1">
      <alignment wrapText="1"/>
      <protection locked="0"/>
    </xf>
    <xf numFmtId="0" fontId="13" fillId="8" borderId="0" xfId="3" applyFont="1" applyFill="1" applyAlignment="1" applyProtection="1">
      <alignment horizontal="right" wrapText="1"/>
      <protection locked="0"/>
    </xf>
    <xf numFmtId="164" fontId="13" fillId="8" borderId="0" xfId="3" applyNumberFormat="1" applyFont="1" applyFill="1" applyAlignment="1" applyProtection="1">
      <alignment wrapText="1"/>
      <protection locked="0"/>
    </xf>
    <xf numFmtId="0" fontId="13" fillId="8" borderId="50" xfId="3" applyFont="1" applyFill="1" applyBorder="1" applyAlignment="1">
      <alignment horizontal="center" vertical="center" wrapText="1"/>
    </xf>
    <xf numFmtId="0" fontId="13" fillId="8" borderId="32" xfId="3" applyFont="1" applyFill="1" applyBorder="1" applyAlignment="1">
      <alignment horizontal="center" vertical="center" wrapText="1"/>
    </xf>
    <xf numFmtId="164" fontId="13" fillId="8" borderId="6" xfId="3" applyNumberFormat="1" applyFont="1" applyFill="1" applyBorder="1" applyAlignment="1">
      <alignment horizontal="center" vertical="center" wrapText="1"/>
    </xf>
    <xf numFmtId="0" fontId="13" fillId="8" borderId="4" xfId="3" applyFont="1" applyFill="1" applyBorder="1" applyAlignment="1">
      <alignment horizontal="center" vertical="center" wrapText="1"/>
    </xf>
    <xf numFmtId="164" fontId="13" fillId="8" borderId="4" xfId="3" applyNumberFormat="1" applyFont="1" applyFill="1" applyBorder="1" applyAlignment="1">
      <alignment horizontal="center" vertical="center" wrapText="1"/>
    </xf>
    <xf numFmtId="2" fontId="5" fillId="8" borderId="1" xfId="3" applyNumberFormat="1" applyFont="1" applyFill="1" applyBorder="1" applyAlignment="1">
      <alignment horizontal="right" vertical="center" wrapText="1"/>
    </xf>
    <xf numFmtId="164" fontId="5" fillId="8" borderId="4" xfId="3" applyNumberFormat="1" applyFont="1" applyFill="1" applyBorder="1" applyAlignment="1">
      <alignment horizontal="right" vertical="center" wrapText="1"/>
    </xf>
    <xf numFmtId="2" fontId="13" fillId="8" borderId="1" xfId="3" applyNumberFormat="1" applyFont="1" applyFill="1" applyBorder="1" applyAlignment="1">
      <alignment horizontal="right" vertical="center" wrapText="1"/>
    </xf>
    <xf numFmtId="164" fontId="13" fillId="8" borderId="1" xfId="3" applyNumberFormat="1" applyFont="1" applyFill="1" applyBorder="1" applyAlignment="1">
      <alignment horizontal="right" vertical="center" wrapText="1"/>
    </xf>
    <xf numFmtId="0" fontId="13" fillId="8" borderId="1" xfId="3" applyFont="1" applyFill="1" applyBorder="1" applyAlignment="1">
      <alignment horizontal="center" vertical="center" wrapText="1"/>
    </xf>
    <xf numFmtId="164" fontId="13" fillId="8" borderId="1" xfId="3" applyNumberFormat="1" applyFont="1" applyFill="1" applyBorder="1" applyAlignment="1">
      <alignment horizontal="center" vertical="center" wrapText="1"/>
    </xf>
    <xf numFmtId="164" fontId="13" fillId="8" borderId="47" xfId="3" applyNumberFormat="1" applyFont="1" applyFill="1" applyBorder="1" applyAlignment="1">
      <alignment horizontal="center" vertical="center" wrapText="1"/>
    </xf>
    <xf numFmtId="164" fontId="13" fillId="8" borderId="48" xfId="3" applyNumberFormat="1" applyFont="1" applyFill="1" applyBorder="1" applyAlignment="1">
      <alignment horizontal="center" vertical="center" wrapText="1"/>
    </xf>
    <xf numFmtId="164" fontId="5" fillId="8" borderId="48" xfId="3" applyNumberFormat="1" applyFont="1" applyFill="1" applyBorder="1" applyAlignment="1">
      <alignment horizontal="right" vertical="center" wrapText="1"/>
    </xf>
    <xf numFmtId="164" fontId="13" fillId="8" borderId="47" xfId="3" applyNumberFormat="1" applyFont="1" applyFill="1" applyBorder="1" applyAlignment="1">
      <alignment horizontal="right" vertical="center" wrapText="1"/>
    </xf>
    <xf numFmtId="164" fontId="14" fillId="8" borderId="1" xfId="3" applyNumberFormat="1" applyFont="1" applyFill="1" applyBorder="1" applyAlignment="1">
      <alignment horizontal="center" vertical="center" wrapText="1"/>
    </xf>
    <xf numFmtId="2" fontId="5" fillId="8" borderId="0" xfId="3" applyNumberFormat="1" applyFont="1" applyFill="1" applyAlignment="1">
      <alignment wrapText="1"/>
    </xf>
    <xf numFmtId="0" fontId="14" fillId="8" borderId="0" xfId="0" applyFont="1" applyFill="1" applyAlignment="1">
      <alignment vertical="center" wrapText="1"/>
    </xf>
    <xf numFmtId="0" fontId="5" fillId="8" borderId="0" xfId="0" applyFont="1" applyFill="1" applyAlignment="1">
      <alignment horizontal="center" wrapText="1"/>
    </xf>
    <xf numFmtId="0" fontId="5" fillId="8" borderId="0" xfId="3" applyFont="1" applyFill="1"/>
    <xf numFmtId="165" fontId="9" fillId="0" borderId="0" xfId="0" applyNumberFormat="1" applyFont="1" applyAlignment="1">
      <alignment horizontal="center" vertical="center" wrapText="1"/>
    </xf>
    <xf numFmtId="165" fontId="9" fillId="11" borderId="1" xfId="0" applyNumberFormat="1" applyFont="1" applyFill="1" applyBorder="1" applyAlignment="1" applyProtection="1">
      <alignment horizontal="center" wrapText="1"/>
      <protection locked="0"/>
    </xf>
    <xf numFmtId="0" fontId="8" fillId="11" borderId="1" xfId="0" applyFont="1" applyFill="1" applyBorder="1" applyAlignment="1" applyProtection="1">
      <alignment horizontal="center" vertical="center" wrapText="1"/>
      <protection locked="0"/>
    </xf>
    <xf numFmtId="1" fontId="0" fillId="11" borderId="1" xfId="0" applyNumberFormat="1" applyFill="1" applyBorder="1" applyAlignment="1" applyProtection="1">
      <alignment horizontal="center"/>
      <protection locked="0"/>
    </xf>
    <xf numFmtId="165" fontId="0" fillId="11" borderId="1" xfId="0" applyNumberFormat="1" applyFill="1" applyBorder="1" applyAlignment="1" applyProtection="1">
      <alignment horizontal="center" wrapText="1"/>
      <protection locked="0"/>
    </xf>
    <xf numFmtId="165" fontId="23" fillId="8" borderId="1" xfId="0" applyNumberFormat="1" applyFont="1" applyFill="1" applyBorder="1" applyAlignment="1">
      <alignment horizontal="center" wrapText="1"/>
    </xf>
    <xf numFmtId="1" fontId="23" fillId="8" borderId="1" xfId="0" applyNumberFormat="1" applyFont="1" applyFill="1" applyBorder="1" applyAlignment="1">
      <alignment horizontal="center" wrapText="1"/>
    </xf>
    <xf numFmtId="2" fontId="13" fillId="8" borderId="5" xfId="3" applyNumberFormat="1" applyFont="1" applyFill="1" applyBorder="1" applyAlignment="1" applyProtection="1">
      <alignment wrapText="1"/>
      <protection locked="0"/>
    </xf>
    <xf numFmtId="0" fontId="5" fillId="8" borderId="10" xfId="3" applyFont="1" applyFill="1" applyBorder="1" applyAlignment="1" applyProtection="1">
      <alignment wrapText="1"/>
      <protection locked="0"/>
    </xf>
    <xf numFmtId="2" fontId="13" fillId="8" borderId="11" xfId="3" applyNumberFormat="1" applyFont="1" applyFill="1" applyBorder="1" applyAlignment="1" applyProtection="1">
      <alignment wrapText="1"/>
      <protection locked="0"/>
    </xf>
    <xf numFmtId="0" fontId="5" fillId="8" borderId="12" xfId="3" applyFont="1" applyFill="1" applyBorder="1" applyAlignment="1" applyProtection="1">
      <alignment wrapText="1"/>
      <protection locked="0"/>
    </xf>
    <xf numFmtId="164" fontId="11" fillId="0" borderId="1" xfId="0" applyNumberFormat="1" applyFont="1" applyFill="1" applyBorder="1" applyAlignment="1">
      <alignment horizontal="center" wrapText="1"/>
    </xf>
    <xf numFmtId="2" fontId="56" fillId="0" borderId="0" xfId="0" applyNumberFormat="1" applyFont="1" applyAlignment="1">
      <alignment vertical="top" wrapText="1"/>
    </xf>
    <xf numFmtId="0" fontId="56" fillId="0" borderId="0" xfId="0" applyFont="1" applyAlignment="1">
      <alignment vertical="top" wrapText="1"/>
    </xf>
    <xf numFmtId="2" fontId="0" fillId="0" borderId="0" xfId="0" applyNumberFormat="1" applyAlignment="1">
      <alignment vertical="top" wrapText="1"/>
    </xf>
    <xf numFmtId="2" fontId="0" fillId="0" borderId="54" xfId="0" applyNumberFormat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5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2" fontId="56" fillId="0" borderId="0" xfId="0" applyNumberFormat="1" applyFont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56" xfId="0" applyBorder="1" applyAlignment="1">
      <alignment horizontal="center" vertical="top" wrapText="1"/>
    </xf>
    <xf numFmtId="2" fontId="23" fillId="0" borderId="39" xfId="0" applyNumberFormat="1" applyFont="1" applyBorder="1" applyAlignment="1">
      <alignment vertical="center" wrapText="1"/>
    </xf>
    <xf numFmtId="2" fontId="23" fillId="0" borderId="36" xfId="0" applyNumberFormat="1" applyFont="1" applyBorder="1" applyAlignment="1">
      <alignment vertical="center" wrapText="1"/>
    </xf>
    <xf numFmtId="2" fontId="23" fillId="0" borderId="43" xfId="0" applyNumberFormat="1" applyFont="1" applyBorder="1" applyAlignment="1">
      <alignment vertical="center" wrapText="1"/>
    </xf>
    <xf numFmtId="2" fontId="23" fillId="0" borderId="49" xfId="0" applyNumberFormat="1" applyFont="1" applyBorder="1" applyAlignment="1">
      <alignment vertical="center" wrapText="1"/>
    </xf>
    <xf numFmtId="2" fontId="23" fillId="0" borderId="44" xfId="0" applyNumberFormat="1" applyFont="1" applyBorder="1" applyAlignment="1">
      <alignment vertical="center" wrapText="1"/>
    </xf>
    <xf numFmtId="2" fontId="23" fillId="0" borderId="41" xfId="0" applyNumberFormat="1" applyFont="1" applyBorder="1" applyAlignment="1">
      <alignment vertical="center" wrapText="1"/>
    </xf>
    <xf numFmtId="2" fontId="23" fillId="0" borderId="0" xfId="0" applyNumberFormat="1" applyFont="1" applyBorder="1" applyAlignment="1">
      <alignment vertical="center" wrapText="1"/>
    </xf>
    <xf numFmtId="2" fontId="23" fillId="0" borderId="29" xfId="0" applyNumberFormat="1" applyFont="1" applyBorder="1" applyAlignment="1">
      <alignment vertical="center" wrapText="1"/>
    </xf>
    <xf numFmtId="2" fontId="23" fillId="0" borderId="57" xfId="0" applyNumberFormat="1" applyFont="1" applyBorder="1" applyAlignment="1">
      <alignment vertical="center" wrapText="1"/>
    </xf>
    <xf numFmtId="2" fontId="23" fillId="0" borderId="48" xfId="0" applyNumberFormat="1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2" fontId="23" fillId="0" borderId="16" xfId="0" applyNumberFormat="1" applyFont="1" applyBorder="1" applyAlignment="1">
      <alignment vertical="center" wrapText="1"/>
    </xf>
    <xf numFmtId="2" fontId="0" fillId="7" borderId="8" xfId="0" applyNumberFormat="1" applyFill="1" applyBorder="1" applyAlignment="1" applyProtection="1">
      <alignment horizontal="center" vertical="center" wrapText="1"/>
      <protection locked="0"/>
    </xf>
    <xf numFmtId="2" fontId="0" fillId="7" borderId="1" xfId="0" applyNumberFormat="1" applyFill="1" applyBorder="1" applyAlignment="1" applyProtection="1">
      <alignment horizontal="center" vertical="center" wrapText="1"/>
      <protection locked="0"/>
    </xf>
    <xf numFmtId="4" fontId="0" fillId="0" borderId="17" xfId="0" applyNumberForma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59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7" xfId="0" applyBorder="1" applyAlignment="1">
      <alignment wrapText="1"/>
    </xf>
    <xf numFmtId="3" fontId="0" fillId="0" borderId="19" xfId="0" applyNumberFormat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0" fontId="0" fillId="0" borderId="59" xfId="0" applyBorder="1" applyAlignment="1">
      <alignment wrapText="1"/>
    </xf>
    <xf numFmtId="4" fontId="0" fillId="7" borderId="13" xfId="0" applyNumberFormat="1" applyFill="1" applyBorder="1" applyAlignment="1" applyProtection="1">
      <alignment horizontal="center" vertical="center" wrapText="1"/>
      <protection locked="0"/>
    </xf>
    <xf numFmtId="0" fontId="0" fillId="7" borderId="16" xfId="0" applyFill="1" applyBorder="1" applyAlignment="1" applyProtection="1">
      <alignment horizontal="center" vertical="center" wrapText="1"/>
      <protection locked="0"/>
    </xf>
    <xf numFmtId="0" fontId="0" fillId="7" borderId="17" xfId="0" applyFont="1" applyFill="1" applyBorder="1" applyAlignment="1" applyProtection="1">
      <alignment horizontal="center" vertical="center" wrapText="1"/>
      <protection locked="0"/>
    </xf>
    <xf numFmtId="2" fontId="0" fillId="0" borderId="3" xfId="0" applyNumberFormat="1" applyFont="1" applyFill="1" applyBorder="1" applyAlignment="1">
      <alignment horizontal="center" vertical="center" wrapText="1"/>
    </xf>
    <xf numFmtId="0" fontId="0" fillId="7" borderId="15" xfId="0" applyFill="1" applyBorder="1" applyAlignment="1" applyProtection="1">
      <alignment horizontal="center" vertical="center" wrapText="1"/>
      <protection locked="0"/>
    </xf>
    <xf numFmtId="0" fontId="0" fillId="7" borderId="17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2" fontId="0" fillId="0" borderId="16" xfId="0" applyNumberFormat="1" applyFill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7" fontId="0" fillId="0" borderId="12" xfId="0" applyNumberForma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4" fillId="0" borderId="0" xfId="0" applyFont="1" applyFill="1" applyAlignment="1">
      <alignment horizontal="center"/>
    </xf>
    <xf numFmtId="165" fontId="0" fillId="0" borderId="0" xfId="0" applyNumberFormat="1" applyAlignment="1" applyProtection="1">
      <alignment horizontal="center" wrapText="1"/>
      <protection locked="0"/>
    </xf>
    <xf numFmtId="165" fontId="0" fillId="8" borderId="2" xfId="0" applyNumberFormat="1" applyFill="1" applyBorder="1" applyAlignment="1">
      <alignment horizontal="center" vertical="center" wrapText="1"/>
    </xf>
    <xf numFmtId="165" fontId="0" fillId="8" borderId="0" xfId="0" applyNumberFormat="1" applyFill="1" applyBorder="1" applyAlignment="1">
      <alignment horizontal="center" vertical="center" wrapText="1"/>
    </xf>
    <xf numFmtId="165" fontId="23" fillId="7" borderId="5" xfId="0" applyNumberFormat="1" applyFont="1" applyFill="1" applyBorder="1" applyAlignment="1">
      <alignment horizontal="center" wrapText="1"/>
    </xf>
    <xf numFmtId="165" fontId="23" fillId="7" borderId="7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5" fontId="0" fillId="8" borderId="1" xfId="0" applyNumberFormat="1" applyFill="1" applyBorder="1" applyAlignment="1">
      <alignment horizontal="center" wrapText="1"/>
    </xf>
    <xf numFmtId="0" fontId="2" fillId="8" borderId="0" xfId="0" applyNumberFormat="1" applyFont="1" applyFill="1" applyBorder="1" applyAlignment="1">
      <alignment horizontal="center"/>
    </xf>
    <xf numFmtId="0" fontId="3" fillId="8" borderId="61" xfId="0" applyFont="1" applyFill="1" applyBorder="1" applyAlignment="1">
      <alignment horizontal="center"/>
    </xf>
    <xf numFmtId="0" fontId="13" fillId="0" borderId="66" xfId="3" applyFont="1" applyBorder="1" applyAlignment="1">
      <alignment horizontal="right" vertical="center" wrapText="1"/>
    </xf>
    <xf numFmtId="0" fontId="13" fillId="0" borderId="67" xfId="3" applyFont="1" applyBorder="1" applyAlignment="1">
      <alignment horizontal="right" vertical="center" wrapText="1"/>
    </xf>
    <xf numFmtId="0" fontId="13" fillId="0" borderId="17" xfId="3" applyFont="1" applyBorder="1" applyAlignment="1">
      <alignment horizontal="right" vertical="center" wrapText="1"/>
    </xf>
    <xf numFmtId="0" fontId="25" fillId="8" borderId="0" xfId="3" applyFont="1" applyFill="1" applyBorder="1" applyAlignment="1">
      <alignment horizontal="right" wrapText="1"/>
    </xf>
    <xf numFmtId="0" fontId="13" fillId="0" borderId="48" xfId="3" applyFont="1" applyBorder="1" applyAlignment="1">
      <alignment horizontal="right" vertical="center" wrapText="1"/>
    </xf>
    <xf numFmtId="0" fontId="13" fillId="0" borderId="61" xfId="3" applyFont="1" applyBorder="1" applyAlignment="1">
      <alignment horizontal="right" vertical="center" wrapText="1"/>
    </xf>
    <xf numFmtId="0" fontId="13" fillId="0" borderId="18" xfId="3" applyFont="1" applyBorder="1" applyAlignment="1">
      <alignment horizontal="right" vertical="center" wrapText="1"/>
    </xf>
    <xf numFmtId="2" fontId="13" fillId="0" borderId="47" xfId="3" applyNumberFormat="1" applyFont="1" applyFill="1" applyBorder="1" applyAlignment="1">
      <alignment horizontal="center" vertical="center" wrapText="1"/>
    </xf>
    <xf numFmtId="2" fontId="13" fillId="0" borderId="16" xfId="3" applyNumberFormat="1" applyFont="1" applyFill="1" applyBorder="1" applyAlignment="1">
      <alignment horizontal="center" vertical="center" wrapText="1"/>
    </xf>
    <xf numFmtId="2" fontId="13" fillId="5" borderId="5" xfId="3" applyNumberFormat="1" applyFont="1" applyFill="1" applyBorder="1" applyAlignment="1">
      <alignment horizontal="center" vertical="center" wrapText="1"/>
    </xf>
    <xf numFmtId="0" fontId="13" fillId="0" borderId="68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8" xfId="3" applyFont="1" applyFill="1" applyBorder="1" applyAlignment="1">
      <alignment horizontal="center" vertical="center" wrapText="1"/>
    </xf>
    <xf numFmtId="0" fontId="13" fillId="0" borderId="18" xfId="3" applyFont="1" applyFill="1" applyBorder="1" applyAlignment="1">
      <alignment horizontal="center" vertical="center" wrapText="1"/>
    </xf>
    <xf numFmtId="164" fontId="13" fillId="0" borderId="14" xfId="3" applyNumberFormat="1" applyFont="1" applyBorder="1" applyAlignment="1">
      <alignment horizontal="center" vertical="center" wrapText="1"/>
    </xf>
    <xf numFmtId="164" fontId="13" fillId="0" borderId="7" xfId="3" applyNumberFormat="1" applyFont="1" applyBorder="1" applyAlignment="1">
      <alignment horizontal="center" vertical="center" wrapText="1"/>
    </xf>
    <xf numFmtId="164" fontId="13" fillId="0" borderId="4" xfId="3" applyNumberFormat="1" applyFont="1" applyBorder="1" applyAlignment="1">
      <alignment horizontal="center" vertical="center" wrapText="1"/>
    </xf>
    <xf numFmtId="0" fontId="13" fillId="0" borderId="68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48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13" fillId="8" borderId="68" xfId="3" applyFont="1" applyFill="1" applyBorder="1" applyAlignment="1">
      <alignment horizontal="center" vertical="center" wrapText="1"/>
    </xf>
    <xf numFmtId="0" fontId="13" fillId="8" borderId="2" xfId="3" applyFont="1" applyFill="1" applyBorder="1" applyAlignment="1">
      <alignment horizontal="center" vertical="center" wrapText="1"/>
    </xf>
    <xf numFmtId="0" fontId="13" fillId="8" borderId="3" xfId="3" applyFont="1" applyFill="1" applyBorder="1" applyAlignment="1">
      <alignment horizontal="center" vertical="center" wrapText="1"/>
    </xf>
    <xf numFmtId="0" fontId="13" fillId="8" borderId="48" xfId="3" applyFont="1" applyFill="1" applyBorder="1" applyAlignment="1">
      <alignment horizontal="center" vertical="center" wrapText="1"/>
    </xf>
    <xf numFmtId="0" fontId="13" fillId="8" borderId="18" xfId="3" applyFont="1" applyFill="1" applyBorder="1" applyAlignment="1">
      <alignment horizontal="center" vertical="center" wrapText="1"/>
    </xf>
    <xf numFmtId="0" fontId="13" fillId="0" borderId="58" xfId="3" applyFont="1" applyFill="1" applyBorder="1" applyAlignment="1">
      <alignment horizontal="center" vertical="center" wrapText="1"/>
    </xf>
    <xf numFmtId="0" fontId="13" fillId="0" borderId="14" xfId="3" applyFont="1" applyFill="1" applyBorder="1" applyAlignment="1">
      <alignment horizontal="center" vertical="center" wrapText="1"/>
    </xf>
    <xf numFmtId="0" fontId="13" fillId="0" borderId="58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 wrapText="1"/>
    </xf>
    <xf numFmtId="0" fontId="13" fillId="8" borderId="58" xfId="3" applyFont="1" applyFill="1" applyBorder="1" applyAlignment="1">
      <alignment horizontal="center" vertical="center" wrapText="1"/>
    </xf>
    <xf numFmtId="0" fontId="13" fillId="8" borderId="14" xfId="3" applyFont="1" applyFill="1" applyBorder="1" applyAlignment="1">
      <alignment horizontal="center" vertical="center" wrapText="1"/>
    </xf>
    <xf numFmtId="2" fontId="5" fillId="0" borderId="0" xfId="3" applyNumberFormat="1" applyFont="1" applyAlignment="1">
      <alignment horizontal="center" wrapText="1"/>
    </xf>
    <xf numFmtId="2" fontId="13" fillId="5" borderId="1" xfId="3" applyNumberFormat="1" applyFont="1" applyFill="1" applyBorder="1" applyAlignment="1">
      <alignment horizontal="center" vertical="center" wrapText="1"/>
    </xf>
    <xf numFmtId="2" fontId="13" fillId="5" borderId="47" xfId="3" applyNumberFormat="1" applyFont="1" applyFill="1" applyBorder="1" applyAlignment="1">
      <alignment horizontal="center" vertical="center" wrapText="1"/>
    </xf>
    <xf numFmtId="2" fontId="13" fillId="5" borderId="65" xfId="3" applyNumberFormat="1" applyFont="1" applyFill="1" applyBorder="1" applyAlignment="1">
      <alignment horizontal="center" vertical="center" wrapText="1"/>
    </xf>
    <xf numFmtId="2" fontId="13" fillId="5" borderId="16" xfId="3" applyNumberFormat="1" applyFont="1" applyFill="1" applyBorder="1" applyAlignment="1">
      <alignment horizontal="center" vertical="center" wrapText="1"/>
    </xf>
    <xf numFmtId="164" fontId="13" fillId="0" borderId="5" xfId="3" applyNumberFormat="1" applyFont="1" applyBorder="1" applyAlignment="1">
      <alignment horizontal="center" vertical="center" wrapText="1"/>
    </xf>
    <xf numFmtId="2" fontId="13" fillId="0" borderId="58" xfId="3" applyNumberFormat="1" applyFont="1" applyFill="1" applyBorder="1" applyAlignment="1">
      <alignment horizontal="center" vertical="center" wrapText="1"/>
    </xf>
    <xf numFmtId="2" fontId="13" fillId="0" borderId="14" xfId="3" applyNumberFormat="1" applyFont="1" applyFill="1" applyBorder="1" applyAlignment="1">
      <alignment horizontal="center" vertical="center" wrapText="1"/>
    </xf>
    <xf numFmtId="2" fontId="13" fillId="0" borderId="50" xfId="3" applyNumberFormat="1" applyFont="1" applyBorder="1" applyAlignment="1">
      <alignment horizontal="left" vertical="center" wrapText="1"/>
    </xf>
    <xf numFmtId="2" fontId="13" fillId="0" borderId="51" xfId="3" applyNumberFormat="1" applyFont="1" applyBorder="1" applyAlignment="1">
      <alignment horizontal="left" vertical="center" wrapText="1"/>
    </xf>
    <xf numFmtId="2" fontId="13" fillId="0" borderId="32" xfId="3" applyNumberFormat="1" applyFont="1" applyBorder="1" applyAlignment="1">
      <alignment horizontal="left" vertical="center" wrapText="1"/>
    </xf>
    <xf numFmtId="164" fontId="13" fillId="0" borderId="40" xfId="3" applyNumberFormat="1" applyFont="1" applyBorder="1" applyAlignment="1">
      <alignment horizontal="center" vertical="center" wrapText="1"/>
    </xf>
    <xf numFmtId="164" fontId="13" fillId="0" borderId="29" xfId="3" applyNumberFormat="1" applyFont="1" applyBorder="1" applyAlignment="1">
      <alignment horizontal="center" vertical="center" wrapText="1"/>
    </xf>
    <xf numFmtId="164" fontId="13" fillId="0" borderId="33" xfId="3" applyNumberFormat="1" applyFont="1" applyBorder="1" applyAlignment="1">
      <alignment horizontal="center" vertical="center" wrapText="1"/>
    </xf>
    <xf numFmtId="2" fontId="13" fillId="5" borderId="18" xfId="3" applyNumberFormat="1" applyFont="1" applyFill="1" applyBorder="1" applyAlignment="1">
      <alignment horizontal="center" vertical="center" wrapText="1"/>
    </xf>
    <xf numFmtId="0" fontId="13" fillId="0" borderId="64" xfId="3" applyFont="1" applyBorder="1" applyAlignment="1">
      <alignment horizontal="right" vertical="center" wrapText="1"/>
    </xf>
    <xf numFmtId="0" fontId="13" fillId="0" borderId="65" xfId="3" applyFont="1" applyBorder="1" applyAlignment="1">
      <alignment horizontal="right" vertical="center" wrapText="1"/>
    </xf>
    <xf numFmtId="0" fontId="13" fillId="0" borderId="16" xfId="3" applyFont="1" applyBorder="1" applyAlignment="1">
      <alignment horizontal="right" vertical="center" wrapText="1"/>
    </xf>
    <xf numFmtId="0" fontId="5" fillId="8" borderId="38" xfId="3" applyFont="1" applyFill="1" applyBorder="1" applyAlignment="1">
      <alignment horizontal="center" vertical="center" wrapText="1"/>
    </xf>
    <xf numFmtId="0" fontId="5" fillId="8" borderId="0" xfId="3" applyFont="1" applyFill="1" applyBorder="1" applyAlignment="1">
      <alignment horizontal="center" vertical="center" wrapText="1"/>
    </xf>
    <xf numFmtId="0" fontId="13" fillId="0" borderId="49" xfId="3" applyFont="1" applyBorder="1" applyAlignment="1">
      <alignment horizontal="right" vertical="center" wrapText="1"/>
    </xf>
    <xf numFmtId="0" fontId="13" fillId="0" borderId="1" xfId="3" applyFont="1" applyBorder="1" applyAlignment="1">
      <alignment horizontal="right" vertical="center" wrapText="1"/>
    </xf>
    <xf numFmtId="0" fontId="13" fillId="7" borderId="49" xfId="3" applyFont="1" applyFill="1" applyBorder="1" applyAlignment="1">
      <alignment horizontal="right" vertical="center" wrapText="1"/>
    </xf>
    <xf numFmtId="0" fontId="13" fillId="7" borderId="1" xfId="3" applyFont="1" applyFill="1" applyBorder="1" applyAlignment="1">
      <alignment horizontal="right" vertical="center" wrapText="1"/>
    </xf>
    <xf numFmtId="0" fontId="13" fillId="0" borderId="49" xfId="3" applyFont="1" applyFill="1" applyBorder="1" applyAlignment="1">
      <alignment horizontal="right" vertical="center" wrapText="1"/>
    </xf>
    <xf numFmtId="0" fontId="13" fillId="0" borderId="1" xfId="3" applyFont="1" applyFill="1" applyBorder="1" applyAlignment="1">
      <alignment horizontal="right" vertical="center" wrapText="1"/>
    </xf>
    <xf numFmtId="0" fontId="15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2" fontId="15" fillId="0" borderId="0" xfId="3" applyNumberFormat="1" applyFont="1" applyFill="1" applyAlignment="1">
      <alignment horizontal="center" wrapText="1"/>
    </xf>
    <xf numFmtId="0" fontId="15" fillId="0" borderId="0" xfId="3" applyNumberFormat="1" applyFont="1" applyFill="1" applyAlignment="1">
      <alignment horizontal="center" wrapText="1"/>
    </xf>
    <xf numFmtId="0" fontId="5" fillId="0" borderId="50" xfId="3" applyFont="1" applyBorder="1" applyAlignment="1">
      <alignment horizontal="center" vertical="center" wrapText="1"/>
    </xf>
    <xf numFmtId="0" fontId="5" fillId="0" borderId="51" xfId="3" applyFont="1" applyBorder="1" applyAlignment="1">
      <alignment horizontal="center" vertical="center" wrapText="1"/>
    </xf>
    <xf numFmtId="0" fontId="5" fillId="0" borderId="32" xfId="3" applyFont="1" applyBorder="1" applyAlignment="1">
      <alignment horizontal="center" vertical="center" wrapText="1"/>
    </xf>
    <xf numFmtId="0" fontId="14" fillId="0" borderId="0" xfId="3" applyFont="1" applyBorder="1" applyAlignment="1" applyProtection="1">
      <alignment horizontal="center" wrapText="1"/>
      <protection locked="0"/>
    </xf>
    <xf numFmtId="0" fontId="13" fillId="0" borderId="0" xfId="3" applyFont="1" applyAlignment="1" applyProtection="1">
      <alignment horizontal="center" wrapText="1"/>
      <protection locked="0"/>
    </xf>
    <xf numFmtId="0" fontId="13" fillId="0" borderId="62" xfId="3" applyFont="1" applyBorder="1" applyAlignment="1">
      <alignment horizontal="right" wrapText="1"/>
    </xf>
    <xf numFmtId="0" fontId="13" fillId="0" borderId="63" xfId="3" applyFont="1" applyBorder="1" applyAlignment="1">
      <alignment horizontal="right" wrapText="1"/>
    </xf>
    <xf numFmtId="0" fontId="13" fillId="0" borderId="15" xfId="3" applyFont="1" applyBorder="1" applyAlignment="1">
      <alignment horizontal="right" wrapText="1"/>
    </xf>
    <xf numFmtId="0" fontId="24" fillId="8" borderId="0" xfId="3" applyFont="1" applyFill="1" applyBorder="1" applyAlignment="1">
      <alignment horizontal="center" wrapText="1"/>
    </xf>
    <xf numFmtId="0" fontId="5" fillId="8" borderId="50" xfId="3" applyFont="1" applyFill="1" applyBorder="1" applyAlignment="1">
      <alignment horizontal="center" vertical="center" wrapText="1"/>
    </xf>
    <xf numFmtId="0" fontId="5" fillId="8" borderId="51" xfId="3" applyFont="1" applyFill="1" applyBorder="1" applyAlignment="1">
      <alignment horizontal="center" vertical="center" wrapText="1"/>
    </xf>
    <xf numFmtId="0" fontId="5" fillId="8" borderId="32" xfId="3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7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39" fillId="0" borderId="35" xfId="0" applyFont="1" applyBorder="1" applyAlignment="1">
      <alignment horizontal="center" vertical="center" wrapText="1"/>
    </xf>
    <xf numFmtId="0" fontId="0" fillId="0" borderId="37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39" fillId="0" borderId="41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54" fillId="8" borderId="54" xfId="0" applyFont="1" applyFill="1" applyBorder="1" applyAlignment="1">
      <alignment vertical="center" wrapText="1"/>
    </xf>
    <xf numFmtId="0" fontId="54" fillId="8" borderId="55" xfId="0" applyFont="1" applyFill="1" applyBorder="1" applyAlignment="1">
      <alignment vertical="center" wrapText="1"/>
    </xf>
    <xf numFmtId="0" fontId="54" fillId="8" borderId="56" xfId="0" applyFont="1" applyFill="1" applyBorder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39" fillId="0" borderId="38" xfId="0" applyFont="1" applyBorder="1" applyAlignment="1">
      <alignment vertical="center" wrapText="1"/>
    </xf>
    <xf numFmtId="0" fontId="49" fillId="8" borderId="69" xfId="0" applyFont="1" applyFill="1" applyBorder="1" applyAlignment="1">
      <alignment horizontal="center" vertical="center" wrapText="1"/>
    </xf>
    <xf numFmtId="0" fontId="49" fillId="8" borderId="70" xfId="0" applyFont="1" applyFill="1" applyBorder="1" applyAlignment="1">
      <alignment horizontal="center" vertical="center" wrapText="1"/>
    </xf>
    <xf numFmtId="0" fontId="49" fillId="8" borderId="46" xfId="0" applyFont="1" applyFill="1" applyBorder="1" applyAlignment="1">
      <alignment horizontal="center" vertical="center" wrapText="1"/>
    </xf>
    <xf numFmtId="0" fontId="49" fillId="8" borderId="54" xfId="0" applyFont="1" applyFill="1" applyBorder="1" applyAlignment="1">
      <alignment horizontal="center" vertical="center" wrapText="1"/>
    </xf>
    <xf numFmtId="0" fontId="49" fillId="8" borderId="55" xfId="0" applyFont="1" applyFill="1" applyBorder="1" applyAlignment="1">
      <alignment horizontal="center" vertical="center" wrapText="1"/>
    </xf>
    <xf numFmtId="0" fontId="49" fillId="8" borderId="56" xfId="0" applyFont="1" applyFill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0" fillId="0" borderId="36" xfId="0" applyBorder="1" applyAlignment="1">
      <alignment vertical="top" wrapText="1"/>
    </xf>
    <xf numFmtId="0" fontId="39" fillId="0" borderId="36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0" fillId="0" borderId="38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31" fillId="0" borderId="50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9" fillId="0" borderId="40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0" fillId="0" borderId="37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41" xfId="0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29" fillId="0" borderId="50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Процентный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</xdr:row>
          <xdr:rowOff>0</xdr:rowOff>
        </xdr:from>
        <xdr:to>
          <xdr:col>3</xdr:col>
          <xdr:colOff>161925</xdr:colOff>
          <xdr:row>5</xdr:row>
          <xdr:rowOff>28575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</xdr:row>
          <xdr:rowOff>0</xdr:rowOff>
        </xdr:from>
        <xdr:to>
          <xdr:col>5</xdr:col>
          <xdr:colOff>180975</xdr:colOff>
          <xdr:row>5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</xdr:row>
          <xdr:rowOff>0</xdr:rowOff>
        </xdr:from>
        <xdr:to>
          <xdr:col>12</xdr:col>
          <xdr:colOff>123825</xdr:colOff>
          <xdr:row>5</xdr:row>
          <xdr:rowOff>161925</xdr:rowOff>
        </xdr:to>
        <xdr:sp macro="" textlink="">
          <xdr:nvSpPr>
            <xdr:cNvPr id="8201" name="Object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179</xdr:row>
          <xdr:rowOff>0</xdr:rowOff>
        </xdr:from>
        <xdr:to>
          <xdr:col>4</xdr:col>
          <xdr:colOff>85725</xdr:colOff>
          <xdr:row>179</xdr:row>
          <xdr:rowOff>304800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180</xdr:row>
          <xdr:rowOff>47625</xdr:rowOff>
        </xdr:from>
        <xdr:to>
          <xdr:col>3</xdr:col>
          <xdr:colOff>581025</xdr:colOff>
          <xdr:row>181</xdr:row>
          <xdr:rowOff>47625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1"/>
  <sheetViews>
    <sheetView tabSelected="1" topLeftCell="A45" workbookViewId="0">
      <selection activeCell="B22" sqref="B22"/>
    </sheetView>
  </sheetViews>
  <sheetFormatPr defaultRowHeight="15" x14ac:dyDescent="0.25"/>
  <cols>
    <col min="1" max="1" width="20.7109375" style="8" customWidth="1"/>
    <col min="2" max="2" width="17.85546875" style="8" customWidth="1"/>
    <col min="3" max="3" width="16.28515625" style="8" customWidth="1"/>
    <col min="4" max="4" width="13.140625" style="8" hidden="1" customWidth="1"/>
    <col min="5" max="5" width="14.28515625" style="8" customWidth="1"/>
    <col min="6" max="6" width="16.42578125" style="8" customWidth="1"/>
    <col min="7" max="7" width="13.5703125" style="8" hidden="1" customWidth="1"/>
    <col min="8" max="8" width="16.42578125" style="8" customWidth="1"/>
    <col min="9" max="9" width="17.42578125" style="8" customWidth="1"/>
    <col min="10" max="10" width="27" style="8" customWidth="1"/>
    <col min="11" max="15" width="9.140625" style="8"/>
    <col min="16" max="16384" width="9.140625" style="9"/>
  </cols>
  <sheetData>
    <row r="1" spans="1:29" s="3" customFormat="1" ht="18.75" x14ac:dyDescent="0.3">
      <c r="A1" s="383" t="s">
        <v>156</v>
      </c>
      <c r="B1" s="383"/>
      <c r="C1" s="383"/>
      <c r="D1" s="383"/>
      <c r="E1" s="383"/>
      <c r="F1" s="383"/>
      <c r="G1" s="383"/>
      <c r="H1" s="383"/>
      <c r="I1" s="38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4"/>
      <c r="AB1" s="254"/>
      <c r="AC1" s="254"/>
    </row>
    <row r="2" spans="1:29" ht="30" customHeight="1" x14ac:dyDescent="0.25">
      <c r="A2" s="384" t="s">
        <v>475</v>
      </c>
      <c r="B2" s="384"/>
      <c r="C2" s="384"/>
      <c r="D2" s="384"/>
      <c r="E2" s="384"/>
      <c r="F2" s="384"/>
      <c r="G2" s="384"/>
      <c r="H2" s="384"/>
      <c r="I2" s="384"/>
    </row>
    <row r="3" spans="1:29" s="4" customFormat="1" ht="18.75" x14ac:dyDescent="0.3">
      <c r="A3" s="62"/>
      <c r="C3" s="391"/>
      <c r="D3" s="391"/>
      <c r="E3" s="1"/>
      <c r="F3" s="392"/>
      <c r="G3" s="392"/>
      <c r="H3" s="392"/>
      <c r="J3" s="2"/>
      <c r="K3" s="2"/>
      <c r="L3" s="2"/>
      <c r="M3" s="2"/>
      <c r="N3" s="2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9" ht="28.5" customHeight="1" x14ac:dyDescent="0.25">
      <c r="B4" s="7"/>
      <c r="C4" s="389" t="s">
        <v>76</v>
      </c>
      <c r="D4" s="389"/>
      <c r="E4" s="389"/>
      <c r="F4" s="390" t="s">
        <v>75</v>
      </c>
      <c r="G4" s="390"/>
      <c r="H4" s="390"/>
    </row>
    <row r="5" spans="1:29" ht="57" customHeight="1" x14ac:dyDescent="0.25">
      <c r="A5" s="7"/>
      <c r="B5" s="7" t="s">
        <v>0</v>
      </c>
      <c r="C5" s="7" t="s">
        <v>445</v>
      </c>
      <c r="D5" s="7" t="s">
        <v>17</v>
      </c>
      <c r="E5" s="7" t="s">
        <v>73</v>
      </c>
      <c r="F5" s="7" t="s">
        <v>16</v>
      </c>
      <c r="G5" s="7" t="s">
        <v>17</v>
      </c>
      <c r="H5" s="7" t="s">
        <v>73</v>
      </c>
    </row>
    <row r="6" spans="1:29" s="12" customFormat="1" ht="30" x14ac:dyDescent="0.25">
      <c r="A6" s="7" t="s">
        <v>74</v>
      </c>
      <c r="B6" s="319">
        <v>-23</v>
      </c>
      <c r="C6" s="63">
        <v>105</v>
      </c>
      <c r="D6" s="283"/>
      <c r="E6" s="283">
        <v>70</v>
      </c>
      <c r="F6" s="283">
        <v>105</v>
      </c>
      <c r="G6" s="283"/>
      <c r="H6" s="283">
        <v>70</v>
      </c>
      <c r="I6" s="8"/>
      <c r="J6" s="8"/>
      <c r="K6" s="11"/>
      <c r="L6" s="11"/>
      <c r="M6" s="11"/>
      <c r="N6" s="318"/>
      <c r="O6" s="11"/>
    </row>
    <row r="7" spans="1:29" x14ac:dyDescent="0.25">
      <c r="A7" s="10"/>
      <c r="B7" s="7">
        <f>B6+1</f>
        <v>-22</v>
      </c>
      <c r="C7" s="61">
        <f>(1+(105-95)/(95-70))*(POWER((18-B7)/(18-$B$6),0.8)*(0.5*95+0.5*$E$6-18)+18+(0.5*95-0.5*$E$6)*(18-B7)/(18-$B$6))-((105-95)/(95-70))*E7</f>
        <v>103.18958296995804</v>
      </c>
      <c r="D7" s="7"/>
      <c r="E7" s="14">
        <f>POWER((18-B7)/(18-$B$6),0.8)*(0.5*95+0.5*$E$6-18)+18+(0.5*95-0.5*$E$6)*(18-B7)/(18-$B$6)-(95-$E$6)*(18-B7)/(18-$B$6)</f>
        <v>69.043241506543424</v>
      </c>
      <c r="F7" s="13">
        <f>(1+(105-95)/(95-70))*(POWER((18-B7)/(18-$B$6),0.8)*(0.5*95+0.5*$E$6-18)+18+(0.5*95-0.5*$E$6)*(18-B7)/(18-$B$6))-((105-95)/(95-70))*H7</f>
        <v>103.18958296995804</v>
      </c>
      <c r="G7" s="7"/>
      <c r="H7" s="14">
        <f>POWER((18-B7)/(18-$B$6),0.8)*(0.5*95+0.5*$E$6-18)+18+(0.5*95-0.5*$E$6)*(18-B7)/(18-$B$6)-(95-$E$6)*(18-B7)/(18-$B$6)</f>
        <v>69.043241506543424</v>
      </c>
    </row>
    <row r="8" spans="1:29" x14ac:dyDescent="0.25">
      <c r="A8" s="7"/>
      <c r="B8" s="7">
        <f t="shared" ref="B8:B42" si="0">B7+1</f>
        <v>-21</v>
      </c>
      <c r="C8" s="61">
        <f t="shared" ref="C8:C24" si="1">(1+(105-95)/(95-70))*(POWER((18-B8)/(18-$B$6),0.8)*(0.5*95+0.5*$E$6-18)+18+(0.5*95-0.5*$E$6)*(18-B8)/(18-$B$6))-((105-95)/(95-70))*E8</f>
        <v>101.37284123379931</v>
      </c>
      <c r="D8" s="7"/>
      <c r="E8" s="14">
        <f t="shared" ref="E8:E24" si="2">POWER((18-B8)/(18-$B$6),0.8)*(0.5*95+0.5*$E$6-18)+18+(0.5*95-0.5*$E$6)*(18-B8)/(18-$B$6)-(95-$E$6)*(18-B8)/(18-$B$6)</f>
        <v>68.080158306970034</v>
      </c>
      <c r="F8" s="13">
        <f t="shared" ref="F8:F42" si="3">(1+(105-95)/(95-70))*(POWER((18-B8)/(18-$B$6),0.8)*(0.5*95+0.5*$E$6-18)+18+(0.5*95-0.5*$E$6)*(18-B8)/(18-$B$6))-((105-95)/(95-70))*H8</f>
        <v>101.37284123379931</v>
      </c>
      <c r="G8" s="7"/>
      <c r="H8" s="14">
        <f t="shared" ref="H8:H42" si="4">POWER((18-B8)/(18-$B$6),0.8)*(0.5*95+0.5*$E$6-18)+18+(0.5*95-0.5*$E$6)*(18-B8)/(18-$B$6)-(95-$E$6)*(18-B8)/(18-$B$6)</f>
        <v>68.080158306970034</v>
      </c>
    </row>
    <row r="9" spans="1:29" x14ac:dyDescent="0.25">
      <c r="A9" s="7"/>
      <c r="B9" s="7">
        <f t="shared" si="0"/>
        <v>-20</v>
      </c>
      <c r="C9" s="61">
        <f t="shared" si="1"/>
        <v>99.549579642981342</v>
      </c>
      <c r="D9" s="7"/>
      <c r="E9" s="14">
        <f t="shared" si="2"/>
        <v>67.110555252737456</v>
      </c>
      <c r="F9" s="13">
        <f t="shared" si="3"/>
        <v>99.549579642981342</v>
      </c>
      <c r="G9" s="7"/>
      <c r="H9" s="14">
        <f t="shared" si="4"/>
        <v>67.110555252737456</v>
      </c>
    </row>
    <row r="10" spans="1:29" x14ac:dyDescent="0.25">
      <c r="A10" s="7"/>
      <c r="B10" s="7">
        <f t="shared" si="0"/>
        <v>-19</v>
      </c>
      <c r="C10" s="61">
        <f t="shared" si="1"/>
        <v>97.719591717395829</v>
      </c>
      <c r="D10" s="7"/>
      <c r="E10" s="14">
        <f t="shared" si="2"/>
        <v>66.134225863737299</v>
      </c>
      <c r="F10" s="13">
        <f t="shared" si="3"/>
        <v>97.719591717395829</v>
      </c>
      <c r="G10" s="7"/>
      <c r="H10" s="14">
        <f t="shared" si="4"/>
        <v>66.134225863737299</v>
      </c>
    </row>
    <row r="11" spans="1:29" x14ac:dyDescent="0.25">
      <c r="A11" s="7"/>
      <c r="B11" s="7">
        <f t="shared" si="0"/>
        <v>-18</v>
      </c>
      <c r="C11" s="61">
        <f t="shared" si="1"/>
        <v>95.882658662248517</v>
      </c>
      <c r="D11" s="7"/>
      <c r="E11" s="14">
        <f t="shared" si="2"/>
        <v>65.150951345175358</v>
      </c>
      <c r="F11" s="13">
        <f t="shared" si="3"/>
        <v>95.882658662248517</v>
      </c>
      <c r="G11" s="7"/>
      <c r="H11" s="14">
        <f t="shared" si="4"/>
        <v>65.150951345175358</v>
      </c>
    </row>
    <row r="12" spans="1:29" x14ac:dyDescent="0.25">
      <c r="A12" s="7"/>
      <c r="B12" s="7">
        <f t="shared" si="0"/>
        <v>-17</v>
      </c>
      <c r="C12" s="61">
        <f t="shared" si="1"/>
        <v>94.038548269857202</v>
      </c>
      <c r="D12" s="7"/>
      <c r="E12" s="14">
        <f t="shared" si="2"/>
        <v>64.1604994893694</v>
      </c>
      <c r="F12" s="13">
        <f t="shared" si="3"/>
        <v>94.038548269857202</v>
      </c>
      <c r="G12" s="7"/>
      <c r="H12" s="14">
        <f t="shared" si="4"/>
        <v>64.1604994893694</v>
      </c>
    </row>
    <row r="13" spans="1:29" x14ac:dyDescent="0.25">
      <c r="A13" s="7"/>
      <c r="B13" s="7">
        <f t="shared" si="0"/>
        <v>-16</v>
      </c>
      <c r="C13" s="61">
        <f t="shared" si="1"/>
        <v>92.187013689207078</v>
      </c>
      <c r="D13" s="7"/>
      <c r="E13" s="14">
        <f t="shared" si="2"/>
        <v>63.162623445304646</v>
      </c>
      <c r="F13" s="13">
        <f t="shared" si="3"/>
        <v>92.187013689207078</v>
      </c>
      <c r="G13" s="7"/>
      <c r="H13" s="14">
        <f t="shared" si="4"/>
        <v>63.162623445304646</v>
      </c>
    </row>
    <row r="14" spans="1:29" x14ac:dyDescent="0.25">
      <c r="A14" s="7"/>
      <c r="B14" s="7">
        <f t="shared" si="0"/>
        <v>-15</v>
      </c>
      <c r="C14" s="61">
        <f t="shared" si="1"/>
        <v>90.327792042964646</v>
      </c>
      <c r="D14" s="7"/>
      <c r="E14" s="14">
        <f t="shared" si="2"/>
        <v>62.157060335647571</v>
      </c>
      <c r="F14" s="13">
        <f t="shared" si="3"/>
        <v>90.327792042964646</v>
      </c>
      <c r="G14" s="7"/>
      <c r="H14" s="14">
        <f t="shared" si="4"/>
        <v>62.157060335647571</v>
      </c>
    </row>
    <row r="15" spans="1:29" x14ac:dyDescent="0.25">
      <c r="A15" s="7"/>
      <c r="B15" s="7">
        <f t="shared" si="0"/>
        <v>-14</v>
      </c>
      <c r="C15" s="61">
        <f t="shared" si="1"/>
        <v>88.46060286781973</v>
      </c>
      <c r="D15" s="7"/>
      <c r="E15" s="14">
        <f t="shared" si="2"/>
        <v>61.143529697088027</v>
      </c>
      <c r="F15" s="13">
        <f t="shared" si="3"/>
        <v>88.46060286781973</v>
      </c>
      <c r="G15" s="7"/>
      <c r="H15" s="14">
        <f t="shared" si="4"/>
        <v>61.143529697088027</v>
      </c>
    </row>
    <row r="16" spans="1:29" x14ac:dyDescent="0.25">
      <c r="A16" s="7"/>
      <c r="B16" s="7">
        <f t="shared" si="0"/>
        <v>-13</v>
      </c>
      <c r="C16" s="61">
        <f t="shared" si="1"/>
        <v>86.585146349333073</v>
      </c>
      <c r="D16" s="7"/>
      <c r="E16" s="14">
        <f t="shared" si="2"/>
        <v>60.121731715186726</v>
      </c>
      <c r="F16" s="13">
        <f t="shared" si="3"/>
        <v>86.585146349333073</v>
      </c>
      <c r="G16" s="7"/>
      <c r="H16" s="14">
        <f t="shared" si="4"/>
        <v>60.121731715186726</v>
      </c>
    </row>
    <row r="17" spans="1:15" x14ac:dyDescent="0.25">
      <c r="A17" s="7"/>
      <c r="B17" s="7">
        <f t="shared" si="0"/>
        <v>-12</v>
      </c>
      <c r="C17" s="61">
        <f t="shared" si="1"/>
        <v>84.701101316675718</v>
      </c>
      <c r="D17" s="7"/>
      <c r="E17" s="14">
        <f t="shared" si="2"/>
        <v>59.091345219114743</v>
      </c>
      <c r="F17" s="13">
        <f t="shared" si="3"/>
        <v>84.701101316675718</v>
      </c>
      <c r="G17" s="7"/>
      <c r="H17" s="14">
        <f t="shared" si="4"/>
        <v>59.091345219114743</v>
      </c>
    </row>
    <row r="18" spans="1:15" x14ac:dyDescent="0.25">
      <c r="A18" s="7"/>
      <c r="B18" s="7">
        <f t="shared" si="0"/>
        <v>-11</v>
      </c>
      <c r="C18" s="61">
        <f t="shared" si="1"/>
        <v>82.808122955463233</v>
      </c>
      <c r="D18" s="7"/>
      <c r="E18" s="14">
        <f t="shared" si="2"/>
        <v>58.052025394487629</v>
      </c>
      <c r="F18" s="13">
        <f t="shared" si="3"/>
        <v>82.808122955463233</v>
      </c>
      <c r="G18" s="7"/>
      <c r="H18" s="14">
        <f t="shared" si="4"/>
        <v>58.052025394487629</v>
      </c>
      <c r="I18" s="9"/>
      <c r="J18" s="9"/>
      <c r="K18" s="9"/>
      <c r="L18" s="9"/>
      <c r="M18" s="9"/>
      <c r="N18" s="9"/>
      <c r="O18" s="9"/>
    </row>
    <row r="19" spans="1:15" x14ac:dyDescent="0.25">
      <c r="A19" s="7"/>
      <c r="B19" s="7">
        <f t="shared" si="0"/>
        <v>-10</v>
      </c>
      <c r="C19" s="61">
        <f t="shared" si="1"/>
        <v>80.90584018790814</v>
      </c>
      <c r="D19" s="7"/>
      <c r="E19" s="14">
        <f t="shared" si="2"/>
        <v>57.003401163517893</v>
      </c>
      <c r="F19" s="13">
        <f t="shared" si="3"/>
        <v>80.90584018790814</v>
      </c>
      <c r="G19" s="7"/>
      <c r="H19" s="14">
        <f t="shared" si="4"/>
        <v>57.003401163517893</v>
      </c>
      <c r="I19" s="9"/>
      <c r="J19" s="9"/>
      <c r="K19" s="9"/>
      <c r="L19" s="9"/>
      <c r="M19" s="9"/>
      <c r="N19" s="9"/>
      <c r="O19" s="9"/>
    </row>
    <row r="20" spans="1:15" x14ac:dyDescent="0.25">
      <c r="A20" s="7"/>
      <c r="B20" s="7">
        <f t="shared" si="0"/>
        <v>-9</v>
      </c>
      <c r="C20" s="61">
        <f t="shared" si="1"/>
        <v>78.993852658218302</v>
      </c>
      <c r="D20" s="7"/>
      <c r="E20" s="14">
        <f t="shared" si="2"/>
        <v>55.945072170413425</v>
      </c>
      <c r="F20" s="13">
        <f t="shared" si="3"/>
        <v>78.993852658218302</v>
      </c>
      <c r="G20" s="7"/>
      <c r="H20" s="14">
        <f t="shared" si="4"/>
        <v>55.945072170413425</v>
      </c>
      <c r="I20" s="9"/>
      <c r="J20" s="9"/>
      <c r="K20" s="9"/>
      <c r="L20" s="9"/>
      <c r="M20" s="9"/>
      <c r="N20" s="9"/>
      <c r="O20" s="9"/>
    </row>
    <row r="21" spans="1:15" x14ac:dyDescent="0.25">
      <c r="A21" s="7"/>
      <c r="B21" s="7">
        <f t="shared" si="0"/>
        <v>-8</v>
      </c>
      <c r="C21" s="61">
        <f t="shared" si="1"/>
        <v>77.071727246841235</v>
      </c>
      <c r="D21" s="7"/>
      <c r="E21" s="14">
        <f t="shared" si="2"/>
        <v>54.876605295621737</v>
      </c>
      <c r="F21" s="13">
        <f t="shared" si="3"/>
        <v>77.071727246841235</v>
      </c>
      <c r="G21" s="7"/>
      <c r="H21" s="14">
        <f t="shared" si="4"/>
        <v>54.876605295621737</v>
      </c>
      <c r="I21" s="9"/>
      <c r="J21" s="9"/>
      <c r="K21" s="9"/>
      <c r="L21" s="9"/>
      <c r="M21" s="9"/>
      <c r="N21" s="9"/>
      <c r="O21" s="9"/>
    </row>
    <row r="22" spans="1:15" x14ac:dyDescent="0.25">
      <c r="A22" s="7"/>
      <c r="B22" s="7">
        <f t="shared" si="0"/>
        <v>-7</v>
      </c>
      <c r="C22" s="61">
        <f t="shared" si="1"/>
        <v>75.138994018840577</v>
      </c>
      <c r="D22" s="7"/>
      <c r="E22" s="14">
        <f t="shared" si="2"/>
        <v>53.797530604206436</v>
      </c>
      <c r="F22" s="13">
        <f t="shared" si="3"/>
        <v>75.138994018840577</v>
      </c>
      <c r="G22" s="7"/>
      <c r="H22" s="14">
        <f t="shared" si="4"/>
        <v>53.797530604206436</v>
      </c>
      <c r="I22" s="9"/>
      <c r="J22" s="9"/>
      <c r="K22" s="9"/>
      <c r="L22" s="9"/>
      <c r="M22" s="9"/>
      <c r="N22" s="9"/>
      <c r="O22" s="9"/>
    </row>
    <row r="23" spans="1:15" x14ac:dyDescent="0.25">
      <c r="A23" s="7"/>
      <c r="B23" s="7">
        <f t="shared" si="0"/>
        <v>-6</v>
      </c>
      <c r="C23" s="61">
        <f t="shared" si="1"/>
        <v>73.195141488069538</v>
      </c>
      <c r="D23" s="7"/>
      <c r="E23" s="14">
        <f t="shared" si="2"/>
        <v>52.707336610020768</v>
      </c>
      <c r="F23" s="13">
        <f t="shared" si="3"/>
        <v>73.195141488069538</v>
      </c>
      <c r="G23" s="7"/>
      <c r="H23" s="14">
        <f t="shared" si="4"/>
        <v>52.707336610020768</v>
      </c>
      <c r="I23" s="9"/>
      <c r="J23" s="9"/>
      <c r="K23" s="9"/>
      <c r="L23" s="9"/>
      <c r="M23" s="9"/>
      <c r="N23" s="9"/>
      <c r="O23" s="9"/>
    </row>
    <row r="24" spans="1:15" x14ac:dyDescent="0.25">
      <c r="A24" s="7"/>
      <c r="B24" s="7">
        <f t="shared" si="0"/>
        <v>-5</v>
      </c>
      <c r="C24" s="61">
        <f t="shared" si="1"/>
        <v>71.23961104805764</v>
      </c>
      <c r="D24" s="7"/>
      <c r="E24" s="14">
        <f t="shared" si="2"/>
        <v>51.605464706594226</v>
      </c>
      <c r="F24" s="13">
        <f t="shared" si="3"/>
        <v>71.23961104805764</v>
      </c>
      <c r="G24" s="7"/>
      <c r="H24" s="14">
        <f t="shared" si="4"/>
        <v>51.605464706594226</v>
      </c>
      <c r="I24" s="9"/>
      <c r="J24" s="9"/>
      <c r="K24" s="9"/>
      <c r="L24" s="9"/>
      <c r="M24" s="9"/>
      <c r="N24" s="9"/>
      <c r="O24" s="9"/>
    </row>
    <row r="25" spans="1:15" x14ac:dyDescent="0.25">
      <c r="A25" s="7"/>
      <c r="B25" s="7">
        <f t="shared" si="0"/>
        <v>-4</v>
      </c>
      <c r="C25" s="61">
        <v>70</v>
      </c>
      <c r="D25" s="7"/>
      <c r="E25" s="14">
        <f>70-(95-$E$6)*(18-B25)/(18-$B$6)</f>
        <v>56.585365853658537</v>
      </c>
      <c r="F25" s="13">
        <f t="shared" si="3"/>
        <v>69.271790380088916</v>
      </c>
      <c r="G25" s="7"/>
      <c r="H25" s="14">
        <f t="shared" si="4"/>
        <v>50.491302575210874</v>
      </c>
      <c r="I25" s="9"/>
      <c r="J25" s="9"/>
      <c r="K25" s="9"/>
      <c r="L25" s="9"/>
      <c r="M25" s="9"/>
      <c r="N25" s="9"/>
      <c r="O25" s="9"/>
    </row>
    <row r="26" spans="1:15" x14ac:dyDescent="0.25">
      <c r="A26" s="7"/>
      <c r="B26" s="7">
        <f t="shared" si="0"/>
        <v>-3</v>
      </c>
      <c r="C26" s="61">
        <v>70</v>
      </c>
      <c r="D26" s="7"/>
      <c r="E26" s="14">
        <f t="shared" ref="E26:E42" si="5">70-(95-$E$6)*(18-B26)/(18-$B$6)</f>
        <v>57.195121951219512</v>
      </c>
      <c r="F26" s="13">
        <f t="shared" si="3"/>
        <v>67.291005595189731</v>
      </c>
      <c r="G26" s="7"/>
      <c r="H26" s="14">
        <f t="shared" si="4"/>
        <v>49.364176326897059</v>
      </c>
      <c r="I26" s="9"/>
      <c r="J26" s="9"/>
      <c r="K26" s="9"/>
      <c r="L26" s="9"/>
      <c r="M26" s="9"/>
      <c r="N26" s="9"/>
      <c r="O26" s="9"/>
    </row>
    <row r="27" spans="1:15" x14ac:dyDescent="0.25">
      <c r="A27" s="7"/>
      <c r="B27" s="7">
        <f t="shared" si="0"/>
        <v>-2</v>
      </c>
      <c r="C27" s="61">
        <v>70</v>
      </c>
      <c r="D27" s="7"/>
      <c r="E27" s="14">
        <f t="shared" si="5"/>
        <v>57.804878048780488</v>
      </c>
      <c r="F27" s="13">
        <f t="shared" si="3"/>
        <v>65.296511794416006</v>
      </c>
      <c r="G27" s="7"/>
      <c r="H27" s="14">
        <f t="shared" si="4"/>
        <v>48.223341062708691</v>
      </c>
      <c r="I27" s="9"/>
      <c r="J27" s="9"/>
      <c r="K27" s="9"/>
      <c r="L27" s="9"/>
      <c r="M27" s="9"/>
      <c r="N27" s="9"/>
      <c r="O27" s="9"/>
    </row>
    <row r="28" spans="1:15" x14ac:dyDescent="0.25">
      <c r="A28" s="7"/>
      <c r="B28" s="7">
        <f t="shared" si="0"/>
        <v>-1</v>
      </c>
      <c r="C28" s="61">
        <v>70</v>
      </c>
      <c r="D28" s="7"/>
      <c r="E28" s="14">
        <f t="shared" si="5"/>
        <v>58.414634146341463</v>
      </c>
      <c r="F28" s="13">
        <f t="shared" si="3"/>
        <v>63.287481633266125</v>
      </c>
      <c r="G28" s="7"/>
      <c r="H28" s="14">
        <f t="shared" si="4"/>
        <v>47.067969438144182</v>
      </c>
      <c r="I28" s="9"/>
      <c r="J28" s="9"/>
      <c r="K28" s="9"/>
      <c r="L28" s="9"/>
      <c r="M28" s="9"/>
      <c r="N28" s="9"/>
      <c r="O28" s="9"/>
    </row>
    <row r="29" spans="1:15" x14ac:dyDescent="0.25">
      <c r="A29" s="7"/>
      <c r="B29" s="7">
        <f t="shared" si="0"/>
        <v>0</v>
      </c>
      <c r="C29" s="61">
        <v>70</v>
      </c>
      <c r="D29" s="7"/>
      <c r="E29" s="14">
        <f t="shared" si="5"/>
        <v>59.024390243902438</v>
      </c>
      <c r="F29" s="13">
        <f t="shared" si="3"/>
        <v>61.262991339821241</v>
      </c>
      <c r="G29" s="7"/>
      <c r="H29" s="14">
        <f t="shared" si="4"/>
        <v>45.897137681284654</v>
      </c>
      <c r="I29" s="9"/>
      <c r="J29" s="9"/>
      <c r="K29" s="9"/>
      <c r="L29" s="9"/>
      <c r="M29" s="9"/>
      <c r="N29" s="9"/>
      <c r="O29" s="9"/>
    </row>
    <row r="30" spans="1:15" x14ac:dyDescent="0.25">
      <c r="A30" s="7"/>
      <c r="B30" s="7">
        <f t="shared" si="0"/>
        <v>1</v>
      </c>
      <c r="C30" s="61">
        <v>70</v>
      </c>
      <c r="D30" s="7"/>
      <c r="E30" s="14">
        <f t="shared" si="5"/>
        <v>59.634146341463413</v>
      </c>
      <c r="F30" s="13">
        <f t="shared" si="3"/>
        <v>59.222003445019382</v>
      </c>
      <c r="G30" s="7"/>
      <c r="H30" s="14">
        <f t="shared" si="4"/>
        <v>44.709808323068174</v>
      </c>
      <c r="I30" s="9"/>
      <c r="J30" s="9"/>
      <c r="K30" s="9"/>
      <c r="L30" s="9"/>
      <c r="M30" s="9"/>
      <c r="N30" s="9"/>
      <c r="O30" s="9"/>
    </row>
    <row r="31" spans="1:15" x14ac:dyDescent="0.25">
      <c r="A31" s="7"/>
      <c r="B31" s="7">
        <f t="shared" si="0"/>
        <v>2</v>
      </c>
      <c r="C31" s="61">
        <v>70</v>
      </c>
      <c r="D31" s="7"/>
      <c r="E31" s="14">
        <f t="shared" si="5"/>
        <v>60.243902439024389</v>
      </c>
      <c r="F31" s="13">
        <f t="shared" si="3"/>
        <v>57.163345210525058</v>
      </c>
      <c r="G31" s="7"/>
      <c r="H31" s="14">
        <f t="shared" si="4"/>
        <v>43.504808625159207</v>
      </c>
      <c r="I31" s="9"/>
      <c r="J31" s="9"/>
      <c r="K31" s="9"/>
      <c r="L31" s="9"/>
      <c r="M31" s="9"/>
      <c r="N31" s="9"/>
      <c r="O31" s="9"/>
    </row>
    <row r="32" spans="1:15" x14ac:dyDescent="0.25">
      <c r="A32" s="7"/>
      <c r="B32" s="7">
        <f t="shared" si="0"/>
        <v>3</v>
      </c>
      <c r="C32" s="61">
        <v>70</v>
      </c>
      <c r="D32" s="7"/>
      <c r="E32" s="14">
        <f t="shared" si="5"/>
        <v>60.853658536585364</v>
      </c>
      <c r="F32" s="13">
        <f t="shared" si="3"/>
        <v>55.085681342612141</v>
      </c>
      <c r="G32" s="7"/>
      <c r="H32" s="14">
        <f t="shared" si="4"/>
        <v>42.28080329383166</v>
      </c>
      <c r="I32" s="9"/>
      <c r="J32" s="9"/>
      <c r="K32" s="9"/>
      <c r="L32" s="9"/>
      <c r="M32" s="9"/>
      <c r="N32" s="9"/>
      <c r="O32" s="9"/>
    </row>
    <row r="33" spans="1:15" x14ac:dyDescent="0.25">
      <c r="A33" s="7"/>
      <c r="B33" s="7">
        <f t="shared" si="0"/>
        <v>4</v>
      </c>
      <c r="C33" s="61">
        <v>70</v>
      </c>
      <c r="D33" s="7"/>
      <c r="E33" s="14">
        <f t="shared" si="5"/>
        <v>61.463414634146339</v>
      </c>
      <c r="F33" s="13">
        <f t="shared" si="3"/>
        <v>52.987478990703451</v>
      </c>
      <c r="G33" s="7"/>
      <c r="H33" s="14">
        <f t="shared" si="4"/>
        <v>41.036259478508327</v>
      </c>
      <c r="I33" s="9"/>
      <c r="J33" s="9"/>
      <c r="K33" s="9"/>
      <c r="L33" s="9"/>
      <c r="M33" s="9"/>
      <c r="N33" s="9"/>
      <c r="O33" s="9"/>
    </row>
    <row r="34" spans="1:15" x14ac:dyDescent="0.25">
      <c r="A34" s="7"/>
      <c r="B34" s="7">
        <f t="shared" si="0"/>
        <v>5</v>
      </c>
      <c r="C34" s="61">
        <v>70</v>
      </c>
      <c r="D34" s="7"/>
      <c r="E34" s="14">
        <f t="shared" si="5"/>
        <v>62.073170731707314</v>
      </c>
      <c r="F34" s="13">
        <f t="shared" si="3"/>
        <v>50.866962132356306</v>
      </c>
      <c r="G34" s="7"/>
      <c r="H34" s="14">
        <f t="shared" si="4"/>
        <v>39.769401156746547</v>
      </c>
      <c r="I34" s="9"/>
      <c r="J34" s="9"/>
      <c r="K34" s="9"/>
      <c r="L34" s="9"/>
      <c r="M34" s="9"/>
      <c r="N34" s="9"/>
      <c r="O34" s="9"/>
    </row>
    <row r="35" spans="1:15" x14ac:dyDescent="0.25">
      <c r="A35" s="7"/>
      <c r="B35" s="7">
        <f t="shared" si="0"/>
        <v>6</v>
      </c>
      <c r="C35" s="61">
        <v>70</v>
      </c>
      <c r="D35" s="7"/>
      <c r="E35" s="14">
        <f t="shared" si="5"/>
        <v>62.68292682926829</v>
      </c>
      <c r="F35" s="13">
        <f t="shared" si="3"/>
        <v>48.722051046094364</v>
      </c>
      <c r="G35" s="7"/>
      <c r="H35" s="14">
        <f t="shared" si="4"/>
        <v>38.478148607069976</v>
      </c>
      <c r="I35" s="9"/>
      <c r="J35" s="9"/>
      <c r="K35" s="9"/>
      <c r="L35" s="9"/>
      <c r="M35" s="9"/>
      <c r="N35" s="9"/>
      <c r="O35" s="9"/>
    </row>
    <row r="36" spans="1:15" x14ac:dyDescent="0.25">
      <c r="A36" s="7"/>
      <c r="B36" s="7">
        <f t="shared" si="0"/>
        <v>7</v>
      </c>
      <c r="C36" s="61">
        <v>70</v>
      </c>
      <c r="D36" s="7"/>
      <c r="E36" s="14">
        <f t="shared" si="5"/>
        <v>63.292682926829272</v>
      </c>
      <c r="F36" s="13">
        <f t="shared" si="3"/>
        <v>46.550280319978853</v>
      </c>
      <c r="G36" s="7"/>
      <c r="H36" s="14">
        <f t="shared" si="4"/>
        <v>37.160036417539828</v>
      </c>
      <c r="I36" s="9"/>
      <c r="J36" s="9"/>
      <c r="K36" s="9"/>
      <c r="L36" s="9"/>
      <c r="M36" s="9"/>
      <c r="N36" s="9"/>
      <c r="O36" s="9"/>
    </row>
    <row r="37" spans="1:15" x14ac:dyDescent="0.25">
      <c r="A37" s="7"/>
      <c r="B37" s="7">
        <f t="shared" si="0"/>
        <v>8</v>
      </c>
      <c r="C37" s="61">
        <v>70</v>
      </c>
      <c r="D37" s="7"/>
      <c r="E37" s="14">
        <f t="shared" si="5"/>
        <v>63.902439024390247</v>
      </c>
      <c r="F37" s="13">
        <f t="shared" si="3"/>
        <v>44.348685089761197</v>
      </c>
      <c r="G37" s="7"/>
      <c r="H37" s="14">
        <f t="shared" si="4"/>
        <v>35.812099723907551</v>
      </c>
      <c r="I37" s="9"/>
      <c r="J37" s="9"/>
      <c r="K37" s="9"/>
      <c r="L37" s="9"/>
      <c r="M37" s="9"/>
      <c r="N37" s="9"/>
      <c r="O37" s="9"/>
    </row>
    <row r="38" spans="1:15" x14ac:dyDescent="0.25">
      <c r="A38" s="7"/>
      <c r="B38" s="7">
        <f t="shared" si="0"/>
        <v>9</v>
      </c>
      <c r="C38" s="61">
        <v>70</v>
      </c>
      <c r="D38" s="7"/>
      <c r="E38" s="14">
        <f t="shared" si="5"/>
        <v>64.512195121951223</v>
      </c>
      <c r="F38" s="13">
        <f t="shared" si="3"/>
        <v>42.113638690032303</v>
      </c>
      <c r="G38" s="7"/>
      <c r="H38" s="14">
        <f t="shared" si="4"/>
        <v>34.430711860764021</v>
      </c>
      <c r="I38" s="9"/>
      <c r="J38" s="9"/>
      <c r="K38" s="9"/>
      <c r="L38" s="9"/>
      <c r="M38" s="9"/>
      <c r="N38" s="9"/>
      <c r="O38" s="9"/>
    </row>
    <row r="39" spans="1:15" x14ac:dyDescent="0.25">
      <c r="A39" s="7"/>
      <c r="B39" s="7">
        <f t="shared" si="0"/>
        <v>10</v>
      </c>
      <c r="C39" s="61">
        <v>70</v>
      </c>
      <c r="D39" s="7"/>
      <c r="E39" s="14">
        <f t="shared" si="5"/>
        <v>65.121951219512198</v>
      </c>
      <c r="F39" s="13">
        <f t="shared" si="3"/>
        <v>39.840613063427121</v>
      </c>
      <c r="G39" s="7"/>
      <c r="H39" s="14">
        <f t="shared" si="4"/>
        <v>33.011344770744202</v>
      </c>
      <c r="I39" s="9"/>
      <c r="J39" s="9"/>
      <c r="K39" s="9"/>
      <c r="L39" s="9"/>
      <c r="M39" s="9"/>
      <c r="N39" s="9"/>
      <c r="O39" s="9"/>
    </row>
    <row r="40" spans="1:15" x14ac:dyDescent="0.25">
      <c r="A40" s="7"/>
      <c r="B40" s="7">
        <f t="shared" si="0"/>
        <v>11</v>
      </c>
      <c r="C40" s="61">
        <v>70</v>
      </c>
      <c r="D40" s="7"/>
      <c r="E40" s="14">
        <f t="shared" si="5"/>
        <v>65.731707317073173</v>
      </c>
      <c r="F40" s="13">
        <f t="shared" si="3"/>
        <v>37.523810490519793</v>
      </c>
      <c r="G40" s="7"/>
      <c r="H40" s="14">
        <f t="shared" si="4"/>
        <v>31.548200734422235</v>
      </c>
      <c r="I40" s="9"/>
      <c r="J40" s="9"/>
      <c r="K40" s="9"/>
      <c r="L40" s="9"/>
      <c r="M40" s="9"/>
      <c r="N40" s="9"/>
      <c r="O40" s="9"/>
    </row>
    <row r="41" spans="1:15" x14ac:dyDescent="0.25">
      <c r="A41" s="7"/>
      <c r="B41" s="7">
        <f t="shared" si="0"/>
        <v>12</v>
      </c>
      <c r="C41" s="61">
        <v>70</v>
      </c>
      <c r="D41" s="7"/>
      <c r="E41" s="14">
        <f t="shared" si="5"/>
        <v>66.341463414634148</v>
      </c>
      <c r="F41" s="13">
        <f t="shared" si="3"/>
        <v>35.155568214645434</v>
      </c>
      <c r="G41" s="7"/>
      <c r="H41" s="14">
        <f t="shared" si="4"/>
        <v>30.03361699513324</v>
      </c>
      <c r="I41" s="9"/>
      <c r="J41" s="9"/>
      <c r="K41" s="9"/>
      <c r="L41" s="9"/>
      <c r="M41" s="9"/>
      <c r="N41" s="9"/>
      <c r="O41" s="9"/>
    </row>
    <row r="42" spans="1:15" x14ac:dyDescent="0.25">
      <c r="A42" s="7"/>
      <c r="B42" s="7">
        <f t="shared" si="0"/>
        <v>13</v>
      </c>
      <c r="C42" s="61">
        <v>70</v>
      </c>
      <c r="D42" s="7"/>
      <c r="E42" s="14">
        <f t="shared" si="5"/>
        <v>66.951219512195124</v>
      </c>
      <c r="F42" s="13">
        <f t="shared" si="3"/>
        <v>32.725331830516524</v>
      </c>
      <c r="G42" s="7"/>
      <c r="H42" s="14">
        <f t="shared" si="4"/>
        <v>28.457039147589697</v>
      </c>
      <c r="I42" s="9"/>
      <c r="J42" s="9"/>
      <c r="K42" s="9"/>
      <c r="L42" s="9"/>
      <c r="M42" s="9"/>
      <c r="N42" s="9"/>
      <c r="O42" s="9"/>
    </row>
    <row r="43" spans="1:15" ht="57.75" hidden="1" customHeight="1" x14ac:dyDescent="0.25">
      <c r="A43" s="387" t="s">
        <v>62</v>
      </c>
      <c r="B43" s="82" t="e">
        <f>(C43-C30)*(B29-B30)/(C29-C30)+B30</f>
        <v>#DIV/0!</v>
      </c>
      <c r="C43" s="63">
        <v>70</v>
      </c>
      <c r="D43" s="60"/>
      <c r="E43" s="81" t="e">
        <f>C43-($C$6-$E$6)*(18-B43)/(18-$B$6)</f>
        <v>#DIV/0!</v>
      </c>
      <c r="F43" s="61" t="s">
        <v>61</v>
      </c>
      <c r="G43" s="7"/>
      <c r="H43" s="14"/>
      <c r="I43" s="9"/>
      <c r="J43" s="9"/>
      <c r="K43" s="9"/>
      <c r="L43" s="9"/>
      <c r="M43" s="9"/>
      <c r="N43" s="9"/>
      <c r="O43" s="9"/>
    </row>
    <row r="44" spans="1:15" ht="15" hidden="1" customHeight="1" x14ac:dyDescent="0.25">
      <c r="A44" s="388"/>
      <c r="B44" s="83">
        <v>2</v>
      </c>
      <c r="C44" s="84">
        <f>IF($C$6&lt;95.1,POWER((18-B44)/(18-$B$6),0.8)*(0.5*$D$6+0.5*$E$6-18)+18+($C$6-0.5*$D$6-0.5*$E$6)*(18-B44)/(18-$B$6),IF(POWER((18-B44)/(18-$B$6),0.8)*(0.5*$D$6+0.5*$E$6-18)+18+($C$6-0.5*$D$6-0.5*$E$6)*(18-B44)/(18-$B$6)&gt;$C$43,POWER((18-B44)/(18-$B$6),0.8)*(0.5*$D$6+0.5*$E$6-18)+18+($C$6-0.5*$D$6-0.5*$E$6)*(18-B44)/(18-$B$6),$C$43))</f>
        <v>70</v>
      </c>
      <c r="D44" s="85"/>
      <c r="E44" s="86">
        <f>C44-($C$6-$E$6)*(18-B44)/(18-$B$6)</f>
        <v>56.341463414634148</v>
      </c>
      <c r="F44" s="87"/>
      <c r="G44" s="85"/>
      <c r="H44" s="86"/>
      <c r="I44" s="9"/>
      <c r="J44" s="9"/>
      <c r="K44" s="9"/>
      <c r="L44" s="9"/>
      <c r="M44" s="9"/>
      <c r="N44" s="9"/>
      <c r="O44" s="9"/>
    </row>
    <row r="45" spans="1:15" ht="105.75" customHeight="1" x14ac:dyDescent="0.25">
      <c r="A45" s="141"/>
      <c r="B45" s="329" t="s">
        <v>461</v>
      </c>
      <c r="C45" s="7" t="s">
        <v>445</v>
      </c>
      <c r="D45" s="7" t="s">
        <v>17</v>
      </c>
      <c r="E45" s="7" t="s">
        <v>73</v>
      </c>
      <c r="F45" s="7" t="s">
        <v>16</v>
      </c>
      <c r="G45" s="7" t="s">
        <v>17</v>
      </c>
      <c r="H45" s="7" t="s">
        <v>73</v>
      </c>
      <c r="I45" s="7" t="s">
        <v>462</v>
      </c>
      <c r="J45" s="9"/>
      <c r="K45" s="9"/>
      <c r="L45" s="9"/>
      <c r="M45" s="9"/>
      <c r="N45" s="9"/>
      <c r="O45" s="9"/>
    </row>
    <row r="46" spans="1:15" x14ac:dyDescent="0.25">
      <c r="A46" s="7" t="s">
        <v>1</v>
      </c>
      <c r="B46" s="284">
        <v>-5.9</v>
      </c>
      <c r="C46" s="61">
        <f>(1+(105-95)/(95-70))*(POWER((18-B46)/(18-$B$6),0.8)*(0.5*95+0.5*$E$6-18)+18+(0.5*95-0.5*$E$6)*(18-B46)/(18-$B$6))-((105-95)/(95-70))*E46</f>
        <v>73.000123608615141</v>
      </c>
      <c r="D46" s="7"/>
      <c r="E46" s="14">
        <f>POWER((18-B46)/(18-$B$6),0.8)*(0.5*95+0.5*$E$6-18)+18+(0.5*95-0.5*$E$6)*(18-B46)/(18-$B$6)-(95-$E$6)*(18-B46)/(18-$B$6)</f>
        <v>52.597684584224915</v>
      </c>
      <c r="F46" s="13">
        <f>(1+(105-95)/(95-70))*(POWER((18-B46)/(18-$B$6),0.8)*(0.5*95+0.5*$E$6-18)+18+(0.5*95-0.5*$E$6)*(18-B46)/(18-$B$6))-((105-95)/(95-70))*H46</f>
        <v>73.000123608615141</v>
      </c>
      <c r="G46" s="7"/>
      <c r="H46" s="14">
        <f>POWER((18-B46)/(18-$B$6),0.8)*(0.5*95+0.5*$E$6-18)+18+(0.5*95-0.5*$E$6)*(18-B46)/(18-$B$6)-(95-$E$6)*(18-B46)/(18-$B$6)</f>
        <v>52.597684584224915</v>
      </c>
      <c r="I46" s="286">
        <v>31</v>
      </c>
      <c r="J46" s="9"/>
      <c r="K46" s="9"/>
      <c r="L46" s="9"/>
      <c r="M46" s="9"/>
      <c r="N46" s="9"/>
      <c r="O46" s="9"/>
    </row>
    <row r="47" spans="1:15" x14ac:dyDescent="0.25">
      <c r="A47" s="6" t="s">
        <v>2</v>
      </c>
      <c r="B47" s="285">
        <v>-4.9000000000000004</v>
      </c>
      <c r="C47" s="61">
        <f>POWER((18-B47)/(18-$B$6),0.8)*(0.5*$C$6+0.5*$E$6-18)+18+(0.5*$C$6-0.5*$E$6)*(18-B47)/(18-$B$6)</f>
        <v>71.388408907423099</v>
      </c>
      <c r="D47" s="7"/>
      <c r="E47" s="14">
        <f>POWER((18-B47)/(18-$B$6),0.8)*(0.5*95+0.5*$E$6-18)+18+(0.5*95-0.5*$E$6)*(18-B47)/(18-$B$6)-(95-$E$6)*(18-B47)/(18-$B$6)</f>
        <v>51.494612162021546</v>
      </c>
      <c r="F47" s="13">
        <f t="shared" ref="F47:F59" si="6">(1+(105-95)/(95-70))*(POWER((18-B47)/(18-$B$6),0.8)*(0.5*95+0.5*$E$6-18)+18+(0.5*95-0.5*$E$6)*(18-B47)/(18-$B$6))-((105-95)/(95-70))*H47</f>
        <v>71.043392649826416</v>
      </c>
      <c r="G47" s="7"/>
      <c r="H47" s="14">
        <f t="shared" ref="H47:H59" si="7">POWER((18-B47)/(18-$B$6),0.8)*(0.5*95+0.5*$E$6-18)+18+(0.5*95-0.5*$E$6)*(18-B47)/(18-$B$6)-(95-$E$6)*(18-B47)/(18-$B$6)</f>
        <v>51.494612162021546</v>
      </c>
      <c r="I47" s="286">
        <v>28</v>
      </c>
      <c r="J47" s="9"/>
      <c r="K47" s="9"/>
      <c r="L47" s="9"/>
      <c r="M47" s="9"/>
      <c r="N47" s="9"/>
      <c r="O47" s="9"/>
    </row>
    <row r="48" spans="1:15" x14ac:dyDescent="0.25">
      <c r="A48" s="6" t="s">
        <v>3</v>
      </c>
      <c r="B48" s="285">
        <v>-0.1</v>
      </c>
      <c r="C48" s="61">
        <v>70</v>
      </c>
      <c r="D48" s="7"/>
      <c r="E48" s="14">
        <f>70-(95-$E$6)*(18-B48)/(18-$B$6)</f>
        <v>58.963414634146339</v>
      </c>
      <c r="F48" s="13">
        <f t="shared" si="6"/>
        <v>61.466164661755101</v>
      </c>
      <c r="G48" s="7"/>
      <c r="H48" s="14">
        <f t="shared" si="7"/>
        <v>46.014945149559985</v>
      </c>
      <c r="I48" s="286">
        <v>31</v>
      </c>
      <c r="J48" s="9"/>
      <c r="K48" s="9"/>
      <c r="L48" s="9"/>
      <c r="M48" s="9"/>
      <c r="N48" s="9"/>
      <c r="O48" s="9"/>
    </row>
    <row r="49" spans="1:15" x14ac:dyDescent="0.25">
      <c r="A49" s="6" t="s">
        <v>4</v>
      </c>
      <c r="B49" s="320">
        <v>6.8</v>
      </c>
      <c r="C49" s="61">
        <v>70</v>
      </c>
      <c r="D49" s="7"/>
      <c r="E49" s="14">
        <f>70-(95-$E$6)*(18-B49)/(18-$B$6)</f>
        <v>63.170731707317074</v>
      </c>
      <c r="F49" s="13">
        <f t="shared" si="6"/>
        <v>46.986917228045144</v>
      </c>
      <c r="G49" s="7"/>
      <c r="H49" s="14">
        <f t="shared" si="7"/>
        <v>37.425941618289052</v>
      </c>
      <c r="I49" s="321">
        <v>15</v>
      </c>
      <c r="J49" s="9"/>
      <c r="K49" s="9"/>
      <c r="L49" s="9"/>
      <c r="M49" s="9"/>
      <c r="N49" s="9"/>
      <c r="O49" s="9"/>
    </row>
    <row r="50" spans="1:15" x14ac:dyDescent="0.25">
      <c r="A50" s="6" t="s">
        <v>5</v>
      </c>
      <c r="B50" s="284">
        <v>9.1999999999999993</v>
      </c>
      <c r="C50" s="88">
        <v>70</v>
      </c>
      <c r="D50" s="284"/>
      <c r="E50" s="14">
        <f t="shared" ref="E50:E59" si="8">70-(95-$E$6)*(18-B50)/(18-$B$6)</f>
        <v>64.634146341463421</v>
      </c>
      <c r="F50" s="13">
        <f t="shared" si="6"/>
        <v>41.662236227889231</v>
      </c>
      <c r="G50" s="284"/>
      <c r="H50" s="14">
        <f t="shared" si="7"/>
        <v>34.150041105938016</v>
      </c>
      <c r="I50" s="286">
        <v>15</v>
      </c>
      <c r="J50" s="9"/>
      <c r="K50" s="9"/>
      <c r="L50" s="9"/>
      <c r="M50" s="9"/>
      <c r="N50" s="9"/>
      <c r="O50" s="9"/>
    </row>
    <row r="51" spans="1:15" x14ac:dyDescent="0.25">
      <c r="A51" s="6" t="s">
        <v>6</v>
      </c>
      <c r="B51" s="284">
        <v>14.4</v>
      </c>
      <c r="C51" s="88">
        <v>70</v>
      </c>
      <c r="D51" s="284"/>
      <c r="E51" s="14">
        <f t="shared" si="8"/>
        <v>67.804878048780495</v>
      </c>
      <c r="F51" s="13">
        <f t="shared" si="6"/>
        <v>29.188048855155799</v>
      </c>
      <c r="G51" s="284"/>
      <c r="H51" s="14">
        <f t="shared" si="7"/>
        <v>26.114878123448488</v>
      </c>
      <c r="I51" s="286">
        <v>31</v>
      </c>
      <c r="J51" s="385"/>
      <c r="K51" s="386"/>
      <c r="L51" s="386"/>
      <c r="M51" s="386"/>
      <c r="N51" s="386"/>
      <c r="O51" s="9"/>
    </row>
    <row r="52" spans="1:15" x14ac:dyDescent="0.25">
      <c r="A52" s="6" t="s">
        <v>7</v>
      </c>
      <c r="B52" s="284">
        <v>17.600000000000001</v>
      </c>
      <c r="C52" s="88">
        <v>70</v>
      </c>
      <c r="D52" s="284"/>
      <c r="E52" s="14">
        <f t="shared" si="8"/>
        <v>69.756097560975604</v>
      </c>
      <c r="F52" s="13">
        <f t="shared" si="6"/>
        <v>19.807988066326203</v>
      </c>
      <c r="G52" s="284"/>
      <c r="H52" s="14">
        <f t="shared" si="7"/>
        <v>19.466524651692062</v>
      </c>
      <c r="I52" s="286">
        <v>30</v>
      </c>
      <c r="J52" s="385"/>
      <c r="K52" s="386"/>
      <c r="L52" s="386"/>
      <c r="M52" s="386"/>
      <c r="N52" s="386"/>
      <c r="O52" s="9"/>
    </row>
    <row r="53" spans="1:15" x14ac:dyDescent="0.25">
      <c r="A53" s="6" t="s">
        <v>8</v>
      </c>
      <c r="B53" s="284">
        <v>19.2</v>
      </c>
      <c r="C53" s="88"/>
      <c r="D53" s="284"/>
      <c r="E53" s="14"/>
      <c r="F53" s="13"/>
      <c r="G53" s="284"/>
      <c r="H53" s="14"/>
      <c r="I53" s="286">
        <v>17</v>
      </c>
      <c r="J53" s="9"/>
      <c r="K53" s="9"/>
      <c r="L53" s="9"/>
      <c r="M53" s="9"/>
      <c r="N53" s="9"/>
      <c r="O53" s="9"/>
    </row>
    <row r="54" spans="1:15" x14ac:dyDescent="0.25">
      <c r="A54" s="6" t="s">
        <v>9</v>
      </c>
      <c r="B54" s="284">
        <v>18.100000000000001</v>
      </c>
      <c r="C54" s="88"/>
      <c r="D54" s="284"/>
      <c r="E54" s="14"/>
      <c r="F54" s="13"/>
      <c r="G54" s="284"/>
      <c r="H54" s="14"/>
      <c r="I54" s="286">
        <v>31</v>
      </c>
      <c r="J54" s="9"/>
      <c r="K54" s="9"/>
      <c r="L54" s="9"/>
      <c r="M54" s="9"/>
      <c r="N54" s="9"/>
      <c r="O54" s="9"/>
    </row>
    <row r="55" spans="1:15" x14ac:dyDescent="0.25">
      <c r="A55" s="6" t="s">
        <v>10</v>
      </c>
      <c r="B55" s="284">
        <v>12.9</v>
      </c>
      <c r="C55" s="88">
        <v>70</v>
      </c>
      <c r="D55" s="284"/>
      <c r="E55" s="14">
        <f t="shared" si="8"/>
        <v>66.890243902439025</v>
      </c>
      <c r="F55" s="13">
        <f t="shared" si="6"/>
        <v>32.971532377752482</v>
      </c>
      <c r="G55" s="284"/>
      <c r="H55" s="14">
        <f t="shared" si="7"/>
        <v>28.617873841167121</v>
      </c>
      <c r="I55" s="286">
        <v>30</v>
      </c>
      <c r="J55" s="9"/>
      <c r="K55" s="9"/>
      <c r="L55" s="9"/>
      <c r="M55" s="9"/>
      <c r="N55" s="9"/>
      <c r="O55" s="9"/>
    </row>
    <row r="56" spans="1:15" x14ac:dyDescent="0.25">
      <c r="A56" s="6" t="s">
        <v>11</v>
      </c>
      <c r="B56" s="284">
        <v>7.9</v>
      </c>
      <c r="C56" s="88">
        <v>70</v>
      </c>
      <c r="D56" s="284"/>
      <c r="E56" s="14">
        <f t="shared" si="8"/>
        <v>63.841463414634148</v>
      </c>
      <c r="F56" s="13">
        <f t="shared" si="6"/>
        <v>44.570283957093679</v>
      </c>
      <c r="G56" s="284"/>
      <c r="H56" s="14">
        <f t="shared" si="7"/>
        <v>35.948332737581495</v>
      </c>
      <c r="I56" s="286">
        <v>10</v>
      </c>
      <c r="J56" s="9"/>
      <c r="K56" s="9"/>
      <c r="L56" s="9"/>
      <c r="M56" s="9"/>
      <c r="N56" s="9"/>
      <c r="O56" s="9"/>
    </row>
    <row r="57" spans="1:15" x14ac:dyDescent="0.25">
      <c r="A57" s="6" t="s">
        <v>12</v>
      </c>
      <c r="B57" s="322">
        <v>6.4</v>
      </c>
      <c r="C57" s="61">
        <v>70</v>
      </c>
      <c r="D57" s="7"/>
      <c r="E57" s="14">
        <f t="shared" si="8"/>
        <v>62.926829268292686</v>
      </c>
      <c r="F57" s="13">
        <f t="shared" si="6"/>
        <v>47.856719287030103</v>
      </c>
      <c r="G57" s="7"/>
      <c r="H57" s="14">
        <f t="shared" si="7"/>
        <v>37.95428026263987</v>
      </c>
      <c r="I57" s="321">
        <v>21</v>
      </c>
      <c r="J57" s="9"/>
      <c r="K57" s="9"/>
      <c r="L57" s="9"/>
      <c r="M57" s="9"/>
      <c r="N57" s="9"/>
      <c r="O57" s="9"/>
    </row>
    <row r="58" spans="1:15" x14ac:dyDescent="0.25">
      <c r="A58" s="6" t="s">
        <v>13</v>
      </c>
      <c r="B58" s="284">
        <v>1</v>
      </c>
      <c r="C58" s="61">
        <v>70</v>
      </c>
      <c r="D58" s="7"/>
      <c r="E58" s="14">
        <f t="shared" si="8"/>
        <v>59.634146341463413</v>
      </c>
      <c r="F58" s="13">
        <f t="shared" si="6"/>
        <v>59.222003445019382</v>
      </c>
      <c r="G58" s="7"/>
      <c r="H58" s="14">
        <f t="shared" si="7"/>
        <v>44.709808323068174</v>
      </c>
      <c r="I58" s="286">
        <v>30</v>
      </c>
      <c r="J58" s="9"/>
      <c r="K58" s="9"/>
      <c r="L58" s="9"/>
      <c r="M58" s="9"/>
      <c r="N58" s="9"/>
      <c r="O58" s="9"/>
    </row>
    <row r="59" spans="1:15" x14ac:dyDescent="0.25">
      <c r="A59" s="6" t="s">
        <v>14</v>
      </c>
      <c r="B59" s="284">
        <v>-3.5</v>
      </c>
      <c r="C59" s="61">
        <v>70</v>
      </c>
      <c r="D59" s="7"/>
      <c r="E59" s="14">
        <f t="shared" si="8"/>
        <v>56.890243902439025</v>
      </c>
      <c r="F59" s="13">
        <f t="shared" si="6"/>
        <v>68.283063271052086</v>
      </c>
      <c r="G59" s="7"/>
      <c r="H59" s="14">
        <f t="shared" si="7"/>
        <v>49.929404734466729</v>
      </c>
      <c r="I59" s="286">
        <v>31</v>
      </c>
      <c r="J59" s="9"/>
      <c r="K59" s="9"/>
      <c r="L59" s="9"/>
      <c r="M59" s="9"/>
      <c r="N59" s="9"/>
      <c r="O59" s="9"/>
    </row>
    <row r="60" spans="1:15" ht="75" x14ac:dyDescent="0.25">
      <c r="A60" s="259" t="s">
        <v>437</v>
      </c>
      <c r="B60" s="323">
        <f>IF(I60=0,0,SUMPRODUCT(B46:B59,I46:I59)/I60)</f>
        <v>6.5544159544159539</v>
      </c>
      <c r="C60" s="323">
        <f>IF(I60=0,0,SUMPRODUCT(C46:C59,I46:I59)/I60)</f>
        <v>60.803074875427114</v>
      </c>
      <c r="D60" s="323"/>
      <c r="E60" s="323">
        <f>IF(I60=0,0,SUMPRODUCT(E46:E59,I46:I59)/I60)</f>
        <v>52.795321511260553</v>
      </c>
      <c r="F60" s="323">
        <f>IF(I60=0,0,SUMPRODUCT(F46:F59,I46:I59)/I60)</f>
        <v>43.646015298004521</v>
      </c>
      <c r="G60" s="323"/>
      <c r="H60" s="323">
        <f>IF(I60=0,0,SUMPRODUCT(H46:H59,I46:I59)/I60)</f>
        <v>33.818240994620481</v>
      </c>
      <c r="I60" s="324">
        <f>SUM(I46:I59)</f>
        <v>351</v>
      </c>
    </row>
    <row r="61" spans="1:15" ht="75" x14ac:dyDescent="0.25">
      <c r="A61" s="89" t="s">
        <v>77</v>
      </c>
      <c r="B61" s="323">
        <f>IF(I61=0,0,(SUMPRODUCT(B46:B49,I46:I49)+SUMPRODUCT(B57:B59,I57:I59))/I61)</f>
        <v>-0.88395721925133708</v>
      </c>
      <c r="C61" s="323">
        <f>IF(I61=0,0,(SUMPRODUCT(C46:C49,I46:I49)+SUMPRODUCT(C57:C59,I57:I59))/I61)</f>
        <v>70.705236798261581</v>
      </c>
      <c r="D61" s="323"/>
      <c r="E61" s="323">
        <f>IF(I61=0,0,(SUMPRODUCT(E46:E49,I46:I49)+SUMPRODUCT(E57:E59,I57:I59))/I61)</f>
        <v>57.336307795558959</v>
      </c>
      <c r="F61" s="323">
        <f>IF(I61=0,0,(SUMPRODUCT(F46:F49,I46:I49)+SUMPRODUCT(F57:F59,I57:I59))/I61)</f>
        <v>62.892512613786764</v>
      </c>
      <c r="G61" s="323"/>
      <c r="H61" s="323">
        <f>IF(I61=0,0,(SUMPRODUCT(H46:H49,I46:I49)+SUMPRODUCT(H57:H59,I57:I59))/I61)</f>
        <v>46.772061329060016</v>
      </c>
      <c r="I61" s="324">
        <f>I59+I58+I57+I46+I47+I48+I49</f>
        <v>187</v>
      </c>
    </row>
  </sheetData>
  <sheetProtection password="CC5D" sheet="1"/>
  <mergeCells count="8">
    <mergeCell ref="A1:I1"/>
    <mergeCell ref="A2:I2"/>
    <mergeCell ref="J51:N52"/>
    <mergeCell ref="A43:A44"/>
    <mergeCell ref="C4:E4"/>
    <mergeCell ref="F4:H4"/>
    <mergeCell ref="C3:D3"/>
    <mergeCell ref="F3:H3"/>
  </mergeCells>
  <phoneticPr fontId="18" type="noConversion"/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8"/>
  <sheetViews>
    <sheetView tabSelected="1" view="pageBreakPreview" zoomScale="60" zoomScaleNormal="75" workbookViewId="0">
      <selection activeCell="B22" sqref="B22"/>
    </sheetView>
  </sheetViews>
  <sheetFormatPr defaultColWidth="0" defaultRowHeight="15" outlineLevelRow="1" x14ac:dyDescent="0.25"/>
  <cols>
    <col min="1" max="1" width="25.42578125" style="46" customWidth="1"/>
    <col min="2" max="2" width="12.28515625" style="46" hidden="1" customWidth="1"/>
    <col min="3" max="5" width="11.7109375" style="46" customWidth="1"/>
    <col min="6" max="6" width="13.140625" style="46" customWidth="1"/>
    <col min="7" max="7" width="14.140625" style="46" customWidth="1"/>
    <col min="8" max="8" width="11.7109375" style="46" customWidth="1"/>
    <col min="9" max="9" width="13.42578125" style="46" customWidth="1"/>
    <col min="10" max="10" width="11.7109375" style="46" customWidth="1"/>
    <col min="11" max="14" width="11.7109375" style="290" customWidth="1"/>
    <col min="15" max="15" width="12.5703125" style="291" customWidth="1"/>
    <col min="16" max="16" width="12.7109375" style="67" hidden="1" customWidth="1"/>
    <col min="17" max="17" width="13" style="68" hidden="1" customWidth="1"/>
    <col min="18" max="18" width="9.28515625" style="39" hidden="1" customWidth="1"/>
    <col min="19" max="19" width="8.5703125" style="39" hidden="1" customWidth="1"/>
    <col min="20" max="20" width="7.85546875" style="39" hidden="1" customWidth="1"/>
    <col min="21" max="25" width="17.5703125" style="39" hidden="1" customWidth="1"/>
    <col min="26" max="16384" width="0" style="39" hidden="1"/>
  </cols>
  <sheetData>
    <row r="1" spans="1:29" ht="18.75" customHeight="1" x14ac:dyDescent="0.25">
      <c r="A1" s="453" t="s">
        <v>157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0"/>
      <c r="R1" s="41"/>
      <c r="S1" s="41"/>
      <c r="T1" s="41"/>
      <c r="U1" s="41"/>
      <c r="V1" s="41"/>
      <c r="W1" s="41"/>
      <c r="X1" s="41"/>
    </row>
    <row r="2" spans="1:29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287"/>
      <c r="L2" s="287"/>
      <c r="M2" s="287"/>
      <c r="N2" s="287"/>
      <c r="O2" s="288"/>
      <c r="P2" s="36"/>
      <c r="Q2" s="42"/>
      <c r="R2" s="43"/>
      <c r="S2" s="43"/>
      <c r="T2" s="43"/>
      <c r="U2" s="43"/>
      <c r="V2" s="43"/>
      <c r="W2" s="44"/>
      <c r="X2" s="44"/>
    </row>
    <row r="3" spans="1:29" s="45" customFormat="1" ht="30" customHeight="1" x14ac:dyDescent="0.25">
      <c r="A3" s="456" t="str">
        <f>'темп граф'!A2:H2</f>
        <v>реконструкції теплової мережі від ТК-15 до КПЗ в межах відведення земельних ділянок без зміни цільового призначення</v>
      </c>
      <c r="B3" s="457"/>
      <c r="C3" s="457"/>
      <c r="D3" s="457"/>
      <c r="E3" s="457"/>
      <c r="F3" s="457"/>
      <c r="G3" s="457"/>
      <c r="H3" s="457"/>
      <c r="I3" s="457"/>
      <c r="J3" s="457"/>
      <c r="K3" s="289"/>
      <c r="L3" s="289"/>
      <c r="M3" s="289"/>
      <c r="N3" s="289"/>
      <c r="O3" s="289"/>
      <c r="P3" s="65"/>
      <c r="Q3" s="66"/>
      <c r="R3" s="64"/>
      <c r="S3" s="64"/>
      <c r="T3" s="64"/>
      <c r="U3" s="64"/>
      <c r="V3" s="64"/>
      <c r="W3" s="64"/>
      <c r="X3" s="64"/>
    </row>
    <row r="5" spans="1:29" hidden="1" x14ac:dyDescent="0.25"/>
    <row r="6" spans="1:29" s="38" customFormat="1" hidden="1" x14ac:dyDescent="0.25">
      <c r="A6" s="35"/>
      <c r="B6" s="35"/>
      <c r="C6" s="454"/>
      <c r="D6" s="454"/>
      <c r="E6" s="454"/>
      <c r="F6" s="454"/>
      <c r="G6" s="454"/>
      <c r="H6" s="454"/>
      <c r="I6" s="454"/>
      <c r="J6" s="455" t="s">
        <v>18</v>
      </c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</row>
    <row r="7" spans="1:29" s="35" customFormat="1" ht="15" hidden="1" customHeight="1" thickBot="1" x14ac:dyDescent="0.3">
      <c r="A7" s="47"/>
      <c r="B7" s="244"/>
      <c r="C7" s="458" t="s">
        <v>431</v>
      </c>
      <c r="D7" s="459"/>
      <c r="E7" s="459"/>
      <c r="F7" s="460"/>
      <c r="G7" s="458" t="s">
        <v>432</v>
      </c>
      <c r="H7" s="459"/>
      <c r="I7" s="459"/>
      <c r="J7" s="460"/>
      <c r="K7" s="467" t="s">
        <v>433</v>
      </c>
      <c r="L7" s="468"/>
      <c r="M7" s="469"/>
      <c r="N7" s="458" t="s">
        <v>434</v>
      </c>
      <c r="O7" s="459"/>
      <c r="P7" s="459"/>
      <c r="Q7" s="459"/>
      <c r="R7" s="460"/>
      <c r="S7" s="458" t="s">
        <v>435</v>
      </c>
      <c r="T7" s="459"/>
      <c r="U7" s="459"/>
      <c r="V7" s="460"/>
      <c r="W7" s="458" t="s">
        <v>436</v>
      </c>
      <c r="X7" s="459"/>
      <c r="Y7" s="460"/>
    </row>
    <row r="8" spans="1:29" s="38" customFormat="1" hidden="1" x14ac:dyDescent="0.25">
      <c r="A8" s="48" t="s">
        <v>19</v>
      </c>
      <c r="B8" s="48" t="s">
        <v>20</v>
      </c>
      <c r="C8" s="245">
        <v>65</v>
      </c>
      <c r="D8" s="245">
        <v>50</v>
      </c>
      <c r="E8" s="246">
        <v>90</v>
      </c>
      <c r="F8" s="245">
        <v>50</v>
      </c>
      <c r="G8" s="245">
        <v>65</v>
      </c>
      <c r="H8" s="245">
        <v>50</v>
      </c>
      <c r="I8" s="245">
        <v>90</v>
      </c>
      <c r="J8" s="245">
        <v>50</v>
      </c>
      <c r="K8" s="292">
        <f>50-J40</f>
        <v>50.9</v>
      </c>
      <c r="L8" s="292">
        <f>100-J40</f>
        <v>100.9</v>
      </c>
      <c r="M8" s="292">
        <f>150-J40</f>
        <v>150.9</v>
      </c>
      <c r="N8" s="292">
        <v>65</v>
      </c>
      <c r="O8" s="293">
        <v>50</v>
      </c>
      <c r="P8" s="247"/>
      <c r="Q8" s="248">
        <v>90</v>
      </c>
      <c r="R8" s="249">
        <v>50</v>
      </c>
      <c r="S8" s="249">
        <v>65</v>
      </c>
      <c r="T8" s="249">
        <v>50</v>
      </c>
      <c r="U8" s="249">
        <v>90</v>
      </c>
      <c r="V8" s="249">
        <v>50</v>
      </c>
      <c r="W8" s="252">
        <f>50-I40</f>
        <v>43.5</v>
      </c>
      <c r="X8" s="252">
        <f>100-I40</f>
        <v>93.5</v>
      </c>
      <c r="Y8" s="252">
        <f>150-I40</f>
        <v>143.5</v>
      </c>
      <c r="AA8" s="69"/>
      <c r="AB8" s="69"/>
      <c r="AC8" s="69"/>
    </row>
    <row r="9" spans="1:29" hidden="1" x14ac:dyDescent="0.25">
      <c r="A9" s="49">
        <v>25</v>
      </c>
      <c r="B9" s="49">
        <v>32</v>
      </c>
      <c r="C9" s="241">
        <v>18</v>
      </c>
      <c r="D9" s="241">
        <v>12</v>
      </c>
      <c r="E9" s="242">
        <v>26</v>
      </c>
      <c r="F9" s="241">
        <v>11</v>
      </c>
      <c r="G9" s="69">
        <v>36</v>
      </c>
      <c r="H9" s="69">
        <v>27</v>
      </c>
      <c r="I9" s="69">
        <v>48</v>
      </c>
      <c r="J9" s="20">
        <v>26</v>
      </c>
      <c r="K9" s="294">
        <v>15</v>
      </c>
      <c r="L9" s="294">
        <v>28</v>
      </c>
      <c r="M9" s="294">
        <v>42</v>
      </c>
      <c r="N9" s="294">
        <v>16</v>
      </c>
      <c r="O9" s="294">
        <v>11</v>
      </c>
      <c r="P9" s="243"/>
      <c r="Q9" s="243">
        <v>23</v>
      </c>
      <c r="R9" s="243">
        <v>10</v>
      </c>
      <c r="S9" s="250">
        <v>33</v>
      </c>
      <c r="T9" s="250">
        <v>25</v>
      </c>
      <c r="U9" s="250">
        <v>44</v>
      </c>
      <c r="V9" s="250">
        <v>24</v>
      </c>
      <c r="W9" s="251">
        <v>13</v>
      </c>
      <c r="X9" s="251">
        <v>25</v>
      </c>
      <c r="Y9" s="251">
        <v>37</v>
      </c>
      <c r="AA9" s="69"/>
      <c r="AB9" s="69"/>
      <c r="AC9" s="69"/>
    </row>
    <row r="10" spans="1:29" hidden="1" x14ac:dyDescent="0.25">
      <c r="A10" s="49">
        <v>40</v>
      </c>
      <c r="B10" s="49">
        <v>45</v>
      </c>
      <c r="C10" s="241">
        <v>21</v>
      </c>
      <c r="D10" s="241">
        <v>14</v>
      </c>
      <c r="E10" s="242">
        <v>29</v>
      </c>
      <c r="F10" s="241">
        <v>13</v>
      </c>
      <c r="G10" s="20">
        <f>(G9+G11)/2</f>
        <v>40</v>
      </c>
      <c r="H10" s="20">
        <f>(H9+H11)/2</f>
        <v>30.5</v>
      </c>
      <c r="I10" s="20">
        <f>(I9+I11)/2</f>
        <v>54</v>
      </c>
      <c r="J10" s="20">
        <f>(J9+J11)/2</f>
        <v>29</v>
      </c>
      <c r="K10" s="294">
        <v>18</v>
      </c>
      <c r="L10" s="294">
        <v>33</v>
      </c>
      <c r="M10" s="294">
        <v>49</v>
      </c>
      <c r="N10" s="294">
        <v>18</v>
      </c>
      <c r="O10" s="294">
        <v>13</v>
      </c>
      <c r="P10" s="243"/>
      <c r="Q10" s="243">
        <v>26</v>
      </c>
      <c r="R10" s="243">
        <v>12</v>
      </c>
      <c r="S10" s="20">
        <f>(S9+S11)/2</f>
        <v>36.5</v>
      </c>
      <c r="T10" s="20">
        <f>(T9+T11)/2</f>
        <v>28</v>
      </c>
      <c r="U10" s="20">
        <f>(U9+U11)/2</f>
        <v>49</v>
      </c>
      <c r="V10" s="20">
        <f>(V9+V11)/2</f>
        <v>26.5</v>
      </c>
      <c r="W10" s="251">
        <v>15</v>
      </c>
      <c r="X10" s="251">
        <v>29</v>
      </c>
      <c r="Y10" s="251">
        <v>44</v>
      </c>
      <c r="AA10" s="69"/>
      <c r="AB10" s="69"/>
      <c r="AC10" s="69"/>
    </row>
    <row r="11" spans="1:29" hidden="1" x14ac:dyDescent="0.25">
      <c r="A11" s="49">
        <v>50</v>
      </c>
      <c r="B11" s="49">
        <v>57</v>
      </c>
      <c r="C11" s="241">
        <v>22</v>
      </c>
      <c r="D11" s="241">
        <v>15</v>
      </c>
      <c r="E11" s="242">
        <v>33</v>
      </c>
      <c r="F11" s="241">
        <v>14</v>
      </c>
      <c r="G11" s="69">
        <v>44</v>
      </c>
      <c r="H11" s="69">
        <v>34</v>
      </c>
      <c r="I11" s="69">
        <v>60</v>
      </c>
      <c r="J11" s="20">
        <v>32</v>
      </c>
      <c r="K11" s="294">
        <v>19</v>
      </c>
      <c r="L11" s="294">
        <v>39</v>
      </c>
      <c r="M11" s="294">
        <v>53</v>
      </c>
      <c r="N11" s="294">
        <v>20</v>
      </c>
      <c r="O11" s="294">
        <v>14</v>
      </c>
      <c r="P11" s="243"/>
      <c r="Q11" s="243">
        <v>28</v>
      </c>
      <c r="R11" s="243">
        <v>13</v>
      </c>
      <c r="S11" s="250">
        <v>40</v>
      </c>
      <c r="T11" s="250">
        <v>31</v>
      </c>
      <c r="U11" s="250">
        <v>54</v>
      </c>
      <c r="V11" s="250">
        <v>29</v>
      </c>
      <c r="W11" s="251">
        <v>17</v>
      </c>
      <c r="X11" s="251">
        <v>31</v>
      </c>
      <c r="Y11" s="251">
        <v>47</v>
      </c>
      <c r="AA11" s="69"/>
      <c r="AB11" s="69"/>
      <c r="AC11" s="69"/>
    </row>
    <row r="12" spans="1:29" hidden="1" x14ac:dyDescent="0.25">
      <c r="A12" s="49">
        <v>65</v>
      </c>
      <c r="B12" s="50">
        <v>76</v>
      </c>
      <c r="C12" s="241">
        <v>27</v>
      </c>
      <c r="D12" s="241">
        <v>19</v>
      </c>
      <c r="E12" s="242">
        <v>38</v>
      </c>
      <c r="F12" s="241">
        <v>16</v>
      </c>
      <c r="G12" s="69">
        <v>50</v>
      </c>
      <c r="H12" s="69">
        <v>38</v>
      </c>
      <c r="I12" s="69">
        <v>67</v>
      </c>
      <c r="J12" s="20">
        <v>36</v>
      </c>
      <c r="K12" s="294">
        <v>23</v>
      </c>
      <c r="L12" s="294">
        <v>41</v>
      </c>
      <c r="M12" s="294">
        <v>61</v>
      </c>
      <c r="N12" s="294">
        <v>23</v>
      </c>
      <c r="O12" s="294">
        <v>16</v>
      </c>
      <c r="P12" s="243"/>
      <c r="Q12" s="243">
        <v>34</v>
      </c>
      <c r="R12" s="243">
        <v>15</v>
      </c>
      <c r="S12" s="250">
        <v>45</v>
      </c>
      <c r="T12" s="250">
        <v>34</v>
      </c>
      <c r="U12" s="250">
        <v>60</v>
      </c>
      <c r="V12" s="250">
        <v>33</v>
      </c>
      <c r="W12" s="251">
        <v>19</v>
      </c>
      <c r="X12" s="251">
        <v>36</v>
      </c>
      <c r="Y12" s="251">
        <v>54</v>
      </c>
      <c r="AA12" s="69"/>
      <c r="AB12" s="69"/>
      <c r="AC12" s="69"/>
    </row>
    <row r="13" spans="1:29" hidden="1" x14ac:dyDescent="0.25">
      <c r="A13" s="49">
        <v>80</v>
      </c>
      <c r="B13" s="49">
        <v>89</v>
      </c>
      <c r="C13" s="241">
        <v>29</v>
      </c>
      <c r="D13" s="241">
        <v>22</v>
      </c>
      <c r="E13" s="242">
        <v>41</v>
      </c>
      <c r="F13" s="241">
        <v>17</v>
      </c>
      <c r="G13" s="69">
        <v>51</v>
      </c>
      <c r="H13" s="69">
        <v>39</v>
      </c>
      <c r="I13" s="69">
        <v>69</v>
      </c>
      <c r="J13" s="20">
        <v>37</v>
      </c>
      <c r="K13" s="294">
        <v>25</v>
      </c>
      <c r="L13" s="294">
        <v>45</v>
      </c>
      <c r="M13" s="294">
        <v>66</v>
      </c>
      <c r="N13" s="294">
        <v>25</v>
      </c>
      <c r="O13" s="294">
        <v>17</v>
      </c>
      <c r="P13" s="243"/>
      <c r="Q13" s="243">
        <v>36</v>
      </c>
      <c r="R13" s="243">
        <v>16</v>
      </c>
      <c r="S13" s="250">
        <v>46</v>
      </c>
      <c r="T13" s="250">
        <v>35</v>
      </c>
      <c r="U13" s="250">
        <v>61</v>
      </c>
      <c r="V13" s="250">
        <v>34</v>
      </c>
      <c r="W13" s="251">
        <v>21</v>
      </c>
      <c r="X13" s="251">
        <v>39</v>
      </c>
      <c r="Y13" s="251">
        <v>58</v>
      </c>
      <c r="AA13" s="69"/>
      <c r="AB13" s="69"/>
      <c r="AC13" s="69"/>
    </row>
    <row r="14" spans="1:29" hidden="1" x14ac:dyDescent="0.25">
      <c r="A14" s="49">
        <v>100</v>
      </c>
      <c r="B14" s="49">
        <v>108</v>
      </c>
      <c r="C14" s="241">
        <v>33</v>
      </c>
      <c r="D14" s="241">
        <v>22</v>
      </c>
      <c r="E14" s="242">
        <v>46</v>
      </c>
      <c r="F14" s="241">
        <v>19</v>
      </c>
      <c r="G14" s="69">
        <v>55</v>
      </c>
      <c r="H14" s="69">
        <v>42</v>
      </c>
      <c r="I14" s="69">
        <v>74</v>
      </c>
      <c r="J14" s="20">
        <v>40</v>
      </c>
      <c r="K14" s="294">
        <v>28</v>
      </c>
      <c r="L14" s="294">
        <v>50</v>
      </c>
      <c r="M14" s="294">
        <v>73</v>
      </c>
      <c r="N14" s="294">
        <v>28</v>
      </c>
      <c r="O14" s="294">
        <v>19</v>
      </c>
      <c r="P14" s="243"/>
      <c r="Q14" s="243">
        <v>41</v>
      </c>
      <c r="R14" s="243">
        <v>17</v>
      </c>
      <c r="S14" s="250">
        <v>49</v>
      </c>
      <c r="T14" s="250">
        <v>38</v>
      </c>
      <c r="U14" s="250">
        <v>65</v>
      </c>
      <c r="V14" s="250">
        <v>35</v>
      </c>
      <c r="W14" s="251">
        <v>24</v>
      </c>
      <c r="X14" s="251">
        <v>43</v>
      </c>
      <c r="Y14" s="251">
        <v>64</v>
      </c>
      <c r="AA14" s="69"/>
      <c r="AB14" s="69"/>
      <c r="AC14" s="69"/>
    </row>
    <row r="15" spans="1:29" hidden="1" x14ac:dyDescent="0.25">
      <c r="A15" s="49">
        <v>125</v>
      </c>
      <c r="B15" s="49">
        <v>133</v>
      </c>
      <c r="C15" s="241">
        <v>34</v>
      </c>
      <c r="D15" s="241">
        <v>23</v>
      </c>
      <c r="E15" s="242">
        <v>49</v>
      </c>
      <c r="F15" s="241">
        <v>20</v>
      </c>
      <c r="G15" s="69">
        <v>61</v>
      </c>
      <c r="H15" s="69">
        <v>46</v>
      </c>
      <c r="I15" s="69">
        <v>81</v>
      </c>
      <c r="J15" s="20">
        <v>44</v>
      </c>
      <c r="K15" s="294">
        <v>32</v>
      </c>
      <c r="L15" s="294">
        <v>55</v>
      </c>
      <c r="M15" s="294">
        <v>81</v>
      </c>
      <c r="N15" s="294">
        <v>31</v>
      </c>
      <c r="O15" s="294">
        <v>21</v>
      </c>
      <c r="P15" s="243"/>
      <c r="Q15" s="243">
        <v>42</v>
      </c>
      <c r="R15" s="243">
        <v>18</v>
      </c>
      <c r="S15" s="250">
        <v>53</v>
      </c>
      <c r="T15" s="250">
        <v>41</v>
      </c>
      <c r="U15" s="250">
        <v>72</v>
      </c>
      <c r="V15" s="250">
        <v>39</v>
      </c>
      <c r="W15" s="251">
        <v>27</v>
      </c>
      <c r="X15" s="251">
        <v>49</v>
      </c>
      <c r="Y15" s="251">
        <v>70</v>
      </c>
      <c r="AA15" s="69"/>
      <c r="AB15" s="69"/>
      <c r="AC15" s="69"/>
    </row>
    <row r="16" spans="1:29" hidden="1" x14ac:dyDescent="0.25">
      <c r="A16" s="49">
        <v>150</v>
      </c>
      <c r="B16" s="49">
        <v>159</v>
      </c>
      <c r="C16" s="241">
        <v>38</v>
      </c>
      <c r="D16" s="241">
        <v>26</v>
      </c>
      <c r="E16" s="242">
        <v>54</v>
      </c>
      <c r="F16" s="241">
        <v>22</v>
      </c>
      <c r="G16" s="69">
        <v>69</v>
      </c>
      <c r="H16" s="69">
        <v>52</v>
      </c>
      <c r="I16" s="69">
        <v>91</v>
      </c>
      <c r="J16" s="20">
        <v>49</v>
      </c>
      <c r="K16" s="294">
        <v>35</v>
      </c>
      <c r="L16" s="294">
        <v>63</v>
      </c>
      <c r="M16" s="294">
        <v>89</v>
      </c>
      <c r="N16" s="294">
        <v>32</v>
      </c>
      <c r="O16" s="294">
        <v>22</v>
      </c>
      <c r="P16" s="243"/>
      <c r="Q16" s="243">
        <v>44</v>
      </c>
      <c r="R16" s="243">
        <v>19</v>
      </c>
      <c r="S16" s="250">
        <v>60</v>
      </c>
      <c r="T16" s="250">
        <v>46</v>
      </c>
      <c r="U16" s="250">
        <v>80</v>
      </c>
      <c r="V16" s="250">
        <v>43</v>
      </c>
      <c r="W16" s="251">
        <v>30</v>
      </c>
      <c r="X16" s="251">
        <v>54</v>
      </c>
      <c r="Y16" s="251">
        <v>77</v>
      </c>
      <c r="AA16" s="69"/>
      <c r="AB16" s="69"/>
      <c r="AC16" s="69"/>
    </row>
    <row r="17" spans="1:29" hidden="1" x14ac:dyDescent="0.25">
      <c r="A17" s="49">
        <v>200</v>
      </c>
      <c r="B17" s="49">
        <v>219</v>
      </c>
      <c r="C17" s="241">
        <v>48</v>
      </c>
      <c r="D17" s="241">
        <v>31</v>
      </c>
      <c r="E17" s="242">
        <v>66</v>
      </c>
      <c r="F17" s="241">
        <v>26</v>
      </c>
      <c r="G17" s="69">
        <v>77</v>
      </c>
      <c r="H17" s="69">
        <v>59</v>
      </c>
      <c r="I17" s="69">
        <v>101</v>
      </c>
      <c r="J17" s="20">
        <v>54</v>
      </c>
      <c r="K17" s="294">
        <v>44</v>
      </c>
      <c r="L17" s="294">
        <v>77</v>
      </c>
      <c r="M17" s="294">
        <v>109</v>
      </c>
      <c r="N17" s="294">
        <v>39</v>
      </c>
      <c r="O17" s="294">
        <v>27</v>
      </c>
      <c r="P17" s="243"/>
      <c r="Q17" s="243">
        <v>54</v>
      </c>
      <c r="R17" s="243">
        <v>22</v>
      </c>
      <c r="S17" s="250">
        <v>66</v>
      </c>
      <c r="T17" s="250">
        <v>50</v>
      </c>
      <c r="U17" s="250">
        <v>89</v>
      </c>
      <c r="V17" s="250">
        <v>48</v>
      </c>
      <c r="W17" s="251">
        <v>37</v>
      </c>
      <c r="X17" s="251">
        <v>65</v>
      </c>
      <c r="Y17" s="251">
        <v>93</v>
      </c>
      <c r="AA17" s="69"/>
      <c r="AB17" s="69"/>
      <c r="AC17" s="69"/>
    </row>
    <row r="18" spans="1:29" hidden="1" x14ac:dyDescent="0.25">
      <c r="A18" s="49">
        <v>250</v>
      </c>
      <c r="B18" s="49">
        <v>273</v>
      </c>
      <c r="C18" s="241">
        <v>54</v>
      </c>
      <c r="D18" s="241">
        <v>35</v>
      </c>
      <c r="E18" s="242">
        <v>76</v>
      </c>
      <c r="F18" s="241">
        <v>29</v>
      </c>
      <c r="G18" s="69">
        <v>83</v>
      </c>
      <c r="H18" s="69">
        <v>63</v>
      </c>
      <c r="I18" s="69">
        <v>111</v>
      </c>
      <c r="J18" s="20">
        <v>59</v>
      </c>
      <c r="K18" s="294">
        <v>51</v>
      </c>
      <c r="L18" s="294">
        <v>88</v>
      </c>
      <c r="M18" s="294">
        <v>125</v>
      </c>
      <c r="N18" s="294">
        <v>45</v>
      </c>
      <c r="O18" s="294">
        <v>30</v>
      </c>
      <c r="P18" s="243"/>
      <c r="Q18" s="243">
        <v>64</v>
      </c>
      <c r="R18" s="243">
        <v>25</v>
      </c>
      <c r="S18" s="250">
        <v>72</v>
      </c>
      <c r="T18" s="250">
        <v>55</v>
      </c>
      <c r="U18" s="250">
        <v>96</v>
      </c>
      <c r="V18" s="250">
        <v>51</v>
      </c>
      <c r="W18" s="251">
        <v>43</v>
      </c>
      <c r="X18" s="251">
        <v>75</v>
      </c>
      <c r="Y18" s="251">
        <v>106</v>
      </c>
      <c r="AA18" s="69"/>
      <c r="AB18" s="69"/>
      <c r="AC18" s="69"/>
    </row>
    <row r="19" spans="1:29" hidden="1" x14ac:dyDescent="0.25">
      <c r="A19" s="49">
        <v>300</v>
      </c>
      <c r="B19" s="49">
        <v>325</v>
      </c>
      <c r="C19" s="241">
        <v>62</v>
      </c>
      <c r="D19" s="241">
        <v>40</v>
      </c>
      <c r="E19" s="242">
        <v>87</v>
      </c>
      <c r="F19" s="241">
        <v>32</v>
      </c>
      <c r="G19" s="69">
        <v>91</v>
      </c>
      <c r="H19" s="69">
        <v>69</v>
      </c>
      <c r="I19" s="69">
        <v>122</v>
      </c>
      <c r="J19" s="20">
        <v>64</v>
      </c>
      <c r="K19" s="294">
        <v>59</v>
      </c>
      <c r="L19" s="294">
        <v>101</v>
      </c>
      <c r="M19" s="294">
        <v>140</v>
      </c>
      <c r="N19" s="294">
        <v>50</v>
      </c>
      <c r="O19" s="294">
        <v>33</v>
      </c>
      <c r="P19" s="243"/>
      <c r="Q19" s="243">
        <v>70</v>
      </c>
      <c r="R19" s="243">
        <v>28</v>
      </c>
      <c r="S19" s="250">
        <v>79</v>
      </c>
      <c r="T19" s="250">
        <v>59</v>
      </c>
      <c r="U19" s="250">
        <v>105</v>
      </c>
      <c r="V19" s="250">
        <v>56</v>
      </c>
      <c r="W19" s="251">
        <v>49</v>
      </c>
      <c r="X19" s="251">
        <v>84</v>
      </c>
      <c r="Y19" s="251">
        <v>118</v>
      </c>
      <c r="AA19" s="69"/>
      <c r="AB19" s="69"/>
      <c r="AC19" s="69"/>
    </row>
    <row r="20" spans="1:29" hidden="1" x14ac:dyDescent="0.25">
      <c r="A20" s="49">
        <v>350</v>
      </c>
      <c r="B20" s="49">
        <v>377</v>
      </c>
      <c r="C20" s="241">
        <v>68</v>
      </c>
      <c r="D20" s="241">
        <v>44</v>
      </c>
      <c r="E20" s="242">
        <v>93</v>
      </c>
      <c r="F20" s="241">
        <v>34</v>
      </c>
      <c r="G20" s="69">
        <v>101</v>
      </c>
      <c r="H20" s="69">
        <v>75</v>
      </c>
      <c r="I20" s="69">
        <v>133</v>
      </c>
      <c r="J20" s="20">
        <v>69</v>
      </c>
      <c r="K20" s="294">
        <v>66</v>
      </c>
      <c r="L20" s="294">
        <v>112</v>
      </c>
      <c r="M20" s="294">
        <v>155</v>
      </c>
      <c r="N20" s="294">
        <v>55</v>
      </c>
      <c r="O20" s="294">
        <v>37</v>
      </c>
      <c r="P20" s="243"/>
      <c r="Q20" s="243">
        <v>75</v>
      </c>
      <c r="R20" s="243">
        <v>30</v>
      </c>
      <c r="S20" s="250">
        <v>86</v>
      </c>
      <c r="T20" s="250">
        <v>65</v>
      </c>
      <c r="U20" s="250">
        <v>113</v>
      </c>
      <c r="V20" s="250">
        <v>60</v>
      </c>
      <c r="W20" s="251">
        <v>55</v>
      </c>
      <c r="X20" s="251">
        <v>93</v>
      </c>
      <c r="Y20" s="251">
        <v>131</v>
      </c>
      <c r="AA20" s="69"/>
      <c r="AB20" s="69"/>
      <c r="AC20" s="69"/>
    </row>
    <row r="21" spans="1:29" hidden="1" x14ac:dyDescent="0.25">
      <c r="A21" s="49">
        <v>400</v>
      </c>
      <c r="B21" s="49">
        <v>426</v>
      </c>
      <c r="C21" s="241">
        <v>76</v>
      </c>
      <c r="D21" s="241">
        <v>47</v>
      </c>
      <c r="E21" s="242">
        <v>109</v>
      </c>
      <c r="F21" s="241">
        <v>37</v>
      </c>
      <c r="G21" s="69">
        <v>108</v>
      </c>
      <c r="H21" s="69">
        <v>80</v>
      </c>
      <c r="I21" s="69">
        <v>140</v>
      </c>
      <c r="J21" s="20">
        <v>73</v>
      </c>
      <c r="K21" s="294">
        <v>73</v>
      </c>
      <c r="L21" s="294">
        <v>122</v>
      </c>
      <c r="M21" s="294">
        <v>170</v>
      </c>
      <c r="N21" s="294">
        <v>58</v>
      </c>
      <c r="O21" s="294">
        <v>38</v>
      </c>
      <c r="P21" s="243"/>
      <c r="Q21" s="243">
        <v>82</v>
      </c>
      <c r="R21" s="243">
        <v>33</v>
      </c>
      <c r="S21" s="250">
        <v>91</v>
      </c>
      <c r="T21" s="250">
        <v>68</v>
      </c>
      <c r="U21" s="250">
        <v>121</v>
      </c>
      <c r="V21" s="250">
        <v>63</v>
      </c>
      <c r="W21" s="251">
        <v>61</v>
      </c>
      <c r="X21" s="251">
        <v>102</v>
      </c>
      <c r="Y21" s="251">
        <v>142</v>
      </c>
      <c r="AA21" s="69"/>
      <c r="AB21" s="69"/>
      <c r="AC21" s="69"/>
    </row>
    <row r="22" spans="1:29" hidden="1" x14ac:dyDescent="0.25">
      <c r="A22" s="49">
        <v>450</v>
      </c>
      <c r="B22" s="49">
        <v>478</v>
      </c>
      <c r="C22" s="241">
        <v>77</v>
      </c>
      <c r="D22" s="241">
        <v>49</v>
      </c>
      <c r="E22" s="242">
        <v>112</v>
      </c>
      <c r="F22" s="241">
        <v>39</v>
      </c>
      <c r="G22" s="69">
        <v>116</v>
      </c>
      <c r="H22" s="69">
        <v>86</v>
      </c>
      <c r="I22" s="69">
        <v>151</v>
      </c>
      <c r="J22" s="20">
        <v>78</v>
      </c>
      <c r="K22" s="294">
        <v>80</v>
      </c>
      <c r="L22" s="294">
        <v>132</v>
      </c>
      <c r="M22" s="294">
        <v>182</v>
      </c>
      <c r="N22" s="294">
        <v>67</v>
      </c>
      <c r="O22" s="294">
        <v>43</v>
      </c>
      <c r="P22" s="243"/>
      <c r="Q22" s="243">
        <v>93</v>
      </c>
      <c r="R22" s="243">
        <v>36</v>
      </c>
      <c r="S22" s="250">
        <v>97</v>
      </c>
      <c r="T22" s="250">
        <v>72</v>
      </c>
      <c r="U22" s="250">
        <v>129</v>
      </c>
      <c r="V22" s="250">
        <v>67</v>
      </c>
      <c r="W22" s="251">
        <v>65</v>
      </c>
      <c r="X22" s="251">
        <v>109</v>
      </c>
      <c r="Y22" s="251">
        <v>152</v>
      </c>
      <c r="AA22" s="69"/>
      <c r="AB22" s="69"/>
      <c r="AC22" s="69"/>
    </row>
    <row r="23" spans="1:29" hidden="1" x14ac:dyDescent="0.25">
      <c r="A23" s="49">
        <v>500</v>
      </c>
      <c r="B23" s="49">
        <v>529</v>
      </c>
      <c r="C23" s="241">
        <v>88</v>
      </c>
      <c r="D23" s="241">
        <v>54</v>
      </c>
      <c r="E23" s="242">
        <v>125</v>
      </c>
      <c r="F23" s="241">
        <v>43</v>
      </c>
      <c r="G23" s="69">
        <v>123</v>
      </c>
      <c r="H23" s="69">
        <v>91</v>
      </c>
      <c r="I23" s="69">
        <v>163</v>
      </c>
      <c r="J23" s="20">
        <v>83</v>
      </c>
      <c r="K23" s="294">
        <v>88</v>
      </c>
      <c r="L23" s="294">
        <v>143</v>
      </c>
      <c r="M23" s="294">
        <v>197</v>
      </c>
      <c r="N23" s="294">
        <v>68</v>
      </c>
      <c r="O23" s="294">
        <v>44</v>
      </c>
      <c r="P23" s="243"/>
      <c r="Q23" s="243">
        <v>98</v>
      </c>
      <c r="R23" s="243">
        <v>38</v>
      </c>
      <c r="S23" s="250">
        <v>105</v>
      </c>
      <c r="T23" s="250">
        <v>78</v>
      </c>
      <c r="U23" s="250">
        <v>138</v>
      </c>
      <c r="V23" s="250">
        <v>72</v>
      </c>
      <c r="W23" s="251">
        <v>71</v>
      </c>
      <c r="X23" s="251">
        <v>119</v>
      </c>
      <c r="Y23" s="251">
        <v>166</v>
      </c>
      <c r="AA23" s="69"/>
      <c r="AB23" s="69"/>
      <c r="AC23" s="69"/>
    </row>
    <row r="24" spans="1:29" hidden="1" x14ac:dyDescent="0.25">
      <c r="A24" s="49">
        <v>600</v>
      </c>
      <c r="B24" s="49">
        <v>630</v>
      </c>
      <c r="C24" s="241">
        <v>98</v>
      </c>
      <c r="D24" s="241">
        <v>58</v>
      </c>
      <c r="E24" s="242">
        <v>140</v>
      </c>
      <c r="F24" s="241">
        <v>45</v>
      </c>
      <c r="G24" s="69">
        <v>140</v>
      </c>
      <c r="H24" s="69">
        <v>103</v>
      </c>
      <c r="I24" s="69">
        <v>186</v>
      </c>
      <c r="J24" s="20">
        <v>94</v>
      </c>
      <c r="K24" s="294">
        <v>100</v>
      </c>
      <c r="L24" s="294">
        <v>165</v>
      </c>
      <c r="M24" s="294">
        <v>225</v>
      </c>
      <c r="N24" s="294">
        <v>79</v>
      </c>
      <c r="O24" s="294">
        <v>50</v>
      </c>
      <c r="P24" s="243"/>
      <c r="Q24" s="243">
        <v>109</v>
      </c>
      <c r="R24" s="243">
        <v>41</v>
      </c>
      <c r="S24" s="250">
        <v>117</v>
      </c>
      <c r="T24" s="250">
        <v>87</v>
      </c>
      <c r="U24" s="250">
        <v>156</v>
      </c>
      <c r="V24" s="250">
        <v>80</v>
      </c>
      <c r="W24" s="251">
        <v>82</v>
      </c>
      <c r="X24" s="251">
        <v>130</v>
      </c>
      <c r="Y24" s="251">
        <v>188</v>
      </c>
      <c r="AA24" s="69"/>
      <c r="AB24" s="69"/>
      <c r="AC24" s="69"/>
    </row>
    <row r="25" spans="1:29" hidden="1" x14ac:dyDescent="0.25">
      <c r="A25" s="49">
        <v>700</v>
      </c>
      <c r="B25" s="49">
        <v>720</v>
      </c>
      <c r="C25" s="241">
        <v>107</v>
      </c>
      <c r="D25" s="241">
        <v>63</v>
      </c>
      <c r="E25" s="242">
        <v>163</v>
      </c>
      <c r="F25" s="241">
        <v>47</v>
      </c>
      <c r="G25" s="69">
        <v>156</v>
      </c>
      <c r="H25" s="69">
        <v>112</v>
      </c>
      <c r="I25" s="69">
        <v>203</v>
      </c>
      <c r="J25" s="20">
        <v>100</v>
      </c>
      <c r="K25" s="294">
        <v>114</v>
      </c>
      <c r="L25" s="294">
        <v>184</v>
      </c>
      <c r="M25" s="294">
        <v>250</v>
      </c>
      <c r="N25" s="294">
        <v>89</v>
      </c>
      <c r="O25" s="294">
        <v>55</v>
      </c>
      <c r="P25" s="243"/>
      <c r="Q25" s="243">
        <v>126</v>
      </c>
      <c r="R25" s="243">
        <v>43</v>
      </c>
      <c r="S25" s="250">
        <v>126</v>
      </c>
      <c r="T25" s="250">
        <v>93</v>
      </c>
      <c r="U25" s="250">
        <v>170</v>
      </c>
      <c r="V25" s="250">
        <v>86</v>
      </c>
      <c r="W25" s="251">
        <v>92</v>
      </c>
      <c r="X25" s="251">
        <v>151</v>
      </c>
      <c r="Y25" s="251">
        <v>209</v>
      </c>
      <c r="AA25" s="69"/>
      <c r="AB25" s="69"/>
      <c r="AC25" s="69"/>
    </row>
    <row r="26" spans="1:29" hidden="1" x14ac:dyDescent="0.25">
      <c r="A26" s="49">
        <v>800</v>
      </c>
      <c r="B26" s="49">
        <v>820</v>
      </c>
      <c r="C26" s="241">
        <v>130</v>
      </c>
      <c r="D26" s="241">
        <v>72</v>
      </c>
      <c r="E26" s="242">
        <v>181</v>
      </c>
      <c r="F26" s="241">
        <v>48</v>
      </c>
      <c r="G26" s="69">
        <v>169</v>
      </c>
      <c r="H26" s="69">
        <v>122</v>
      </c>
      <c r="I26" s="69">
        <v>226</v>
      </c>
      <c r="J26" s="20">
        <v>109</v>
      </c>
      <c r="K26" s="294">
        <v>128</v>
      </c>
      <c r="L26" s="294">
        <v>205</v>
      </c>
      <c r="M26" s="294">
        <v>278</v>
      </c>
      <c r="N26" s="294">
        <v>100</v>
      </c>
      <c r="O26" s="294">
        <v>60</v>
      </c>
      <c r="P26" s="243"/>
      <c r="Q26" s="243">
        <v>140</v>
      </c>
      <c r="R26" s="243">
        <v>45</v>
      </c>
      <c r="S26" s="250">
        <v>140</v>
      </c>
      <c r="T26" s="250">
        <v>102</v>
      </c>
      <c r="U26" s="250">
        <v>186</v>
      </c>
      <c r="V26" s="250">
        <v>93</v>
      </c>
      <c r="W26" s="251">
        <v>103</v>
      </c>
      <c r="X26" s="251">
        <v>167</v>
      </c>
      <c r="Y26" s="251">
        <v>213</v>
      </c>
      <c r="AA26" s="69"/>
      <c r="AB26" s="69"/>
      <c r="AC26" s="69"/>
    </row>
    <row r="27" spans="1:29" hidden="1" x14ac:dyDescent="0.25">
      <c r="A27" s="49">
        <v>900</v>
      </c>
      <c r="B27" s="49">
        <v>920</v>
      </c>
      <c r="C27" s="241">
        <v>138</v>
      </c>
      <c r="D27" s="241">
        <v>75</v>
      </c>
      <c r="E27" s="242">
        <v>190</v>
      </c>
      <c r="F27" s="241">
        <v>57</v>
      </c>
      <c r="G27" s="69"/>
      <c r="H27" s="69"/>
      <c r="I27" s="69"/>
      <c r="J27" s="20"/>
      <c r="K27" s="294">
        <v>141</v>
      </c>
      <c r="L27" s="294">
        <v>226</v>
      </c>
      <c r="M27" s="294">
        <v>306</v>
      </c>
      <c r="N27" s="294">
        <v>106</v>
      </c>
      <c r="O27" s="294">
        <v>66</v>
      </c>
      <c r="P27" s="243"/>
      <c r="Q27" s="243">
        <v>151</v>
      </c>
      <c r="R27" s="243">
        <v>54</v>
      </c>
      <c r="S27" s="250"/>
      <c r="T27" s="250"/>
      <c r="U27" s="250"/>
      <c r="V27" s="250"/>
      <c r="W27" s="251">
        <v>113</v>
      </c>
      <c r="X27" s="251">
        <v>184</v>
      </c>
      <c r="Y27" s="251">
        <v>253</v>
      </c>
      <c r="AA27" s="69"/>
      <c r="AB27" s="69"/>
      <c r="AC27" s="69"/>
    </row>
    <row r="28" spans="1:29" hidden="1" x14ac:dyDescent="0.25">
      <c r="A28" s="49">
        <v>1000</v>
      </c>
      <c r="B28" s="49">
        <v>1020</v>
      </c>
      <c r="C28" s="241">
        <v>152</v>
      </c>
      <c r="D28" s="241">
        <v>78</v>
      </c>
      <c r="E28" s="242">
        <v>199</v>
      </c>
      <c r="F28" s="241">
        <v>59</v>
      </c>
      <c r="G28" s="69"/>
      <c r="H28" s="69"/>
      <c r="I28" s="69"/>
      <c r="J28" s="20"/>
      <c r="K28" s="294">
        <v>155</v>
      </c>
      <c r="L28" s="294">
        <v>247</v>
      </c>
      <c r="M28" s="294">
        <v>333</v>
      </c>
      <c r="N28" s="294">
        <v>117</v>
      </c>
      <c r="O28" s="294">
        <v>71</v>
      </c>
      <c r="P28" s="243"/>
      <c r="Q28" s="243">
        <v>158</v>
      </c>
      <c r="R28" s="243">
        <v>57</v>
      </c>
      <c r="S28" s="250"/>
      <c r="T28" s="250"/>
      <c r="U28" s="250"/>
      <c r="V28" s="250"/>
      <c r="W28" s="251">
        <v>124</v>
      </c>
      <c r="X28" s="251">
        <v>201</v>
      </c>
      <c r="Y28" s="251">
        <v>275</v>
      </c>
    </row>
    <row r="30" spans="1:29" s="51" customFormat="1" ht="15.75" thickBot="1" x14ac:dyDescent="0.3">
      <c r="A30" s="461"/>
      <c r="B30" s="461"/>
      <c r="C30" s="461"/>
      <c r="D30" s="461"/>
      <c r="E30" s="461"/>
      <c r="F30" s="461"/>
      <c r="G30" s="461"/>
      <c r="H30" s="461"/>
      <c r="I30" s="462"/>
      <c r="J30" s="462"/>
      <c r="K30" s="295"/>
      <c r="L30" s="295"/>
      <c r="M30" s="295"/>
      <c r="N30" s="296"/>
      <c r="O30" s="297"/>
      <c r="P30" s="70"/>
      <c r="Q30" s="71"/>
    </row>
    <row r="31" spans="1:29" ht="62.25" customHeight="1" x14ac:dyDescent="0.25">
      <c r="A31" s="463" t="s">
        <v>21</v>
      </c>
      <c r="B31" s="464"/>
      <c r="C31" s="464"/>
      <c r="D31" s="464"/>
      <c r="E31" s="464"/>
      <c r="F31" s="464"/>
      <c r="G31" s="464"/>
      <c r="H31" s="465"/>
      <c r="I31" s="145" t="s">
        <v>22</v>
      </c>
      <c r="J31" s="146" t="s">
        <v>23</v>
      </c>
      <c r="K31" s="466"/>
      <c r="L31" s="466"/>
      <c r="M31" s="466"/>
      <c r="N31" s="466"/>
      <c r="O31" s="466"/>
      <c r="P31" s="142"/>
    </row>
    <row r="32" spans="1:29" x14ac:dyDescent="0.25">
      <c r="A32" s="451" t="s">
        <v>438</v>
      </c>
      <c r="B32" s="452"/>
      <c r="C32" s="452"/>
      <c r="D32" s="452"/>
      <c r="E32" s="452"/>
      <c r="F32" s="452"/>
      <c r="G32" s="452"/>
      <c r="H32" s="452"/>
      <c r="I32" s="95">
        <f>'темп граф'!C60</f>
        <v>60.803074875427114</v>
      </c>
      <c r="J32" s="147">
        <f>'темп граф'!F61</f>
        <v>62.892512613786764</v>
      </c>
      <c r="K32" s="396"/>
      <c r="L32" s="396"/>
      <c r="M32" s="396"/>
      <c r="N32" s="396"/>
      <c r="O32" s="396"/>
      <c r="P32" s="142">
        <v>1</v>
      </c>
      <c r="Q32" s="72"/>
    </row>
    <row r="33" spans="1:17" x14ac:dyDescent="0.25">
      <c r="A33" s="451" t="s">
        <v>73</v>
      </c>
      <c r="B33" s="452"/>
      <c r="C33" s="452"/>
      <c r="D33" s="452"/>
      <c r="E33" s="452"/>
      <c r="F33" s="452"/>
      <c r="G33" s="452"/>
      <c r="H33" s="452"/>
      <c r="I33" s="95">
        <f>'темп граф'!E60</f>
        <v>52.795321511260553</v>
      </c>
      <c r="J33" s="147">
        <f>'темп граф'!H61</f>
        <v>46.772061329060016</v>
      </c>
      <c r="K33" s="396"/>
      <c r="L33" s="396"/>
      <c r="M33" s="396"/>
      <c r="N33" s="396"/>
      <c r="O33" s="396"/>
      <c r="P33" s="142">
        <v>1</v>
      </c>
      <c r="Q33" s="72"/>
    </row>
    <row r="34" spans="1:17" ht="15" hidden="1" customHeight="1" x14ac:dyDescent="0.25">
      <c r="A34" s="449"/>
      <c r="B34" s="450"/>
      <c r="C34" s="450"/>
      <c r="D34" s="450"/>
      <c r="E34" s="450"/>
      <c r="F34" s="450"/>
      <c r="G34" s="450"/>
      <c r="H34" s="450"/>
      <c r="I34" s="19"/>
      <c r="J34" s="148"/>
      <c r="K34" s="396"/>
      <c r="L34" s="396"/>
      <c r="M34" s="396"/>
      <c r="N34" s="396"/>
      <c r="O34" s="396"/>
      <c r="P34" s="142">
        <v>1</v>
      </c>
    </row>
    <row r="35" spans="1:17" x14ac:dyDescent="0.25">
      <c r="A35" s="447" t="s">
        <v>472</v>
      </c>
      <c r="B35" s="448"/>
      <c r="C35" s="448"/>
      <c r="D35" s="448"/>
      <c r="E35" s="448"/>
      <c r="F35" s="448"/>
      <c r="G35" s="448"/>
      <c r="H35" s="448"/>
      <c r="I35" s="98">
        <v>55</v>
      </c>
      <c r="J35" s="149"/>
      <c r="K35" s="396"/>
      <c r="L35" s="396"/>
      <c r="M35" s="396"/>
      <c r="N35" s="396"/>
      <c r="O35" s="396"/>
      <c r="P35" s="142">
        <v>1</v>
      </c>
    </row>
    <row r="36" spans="1:17" x14ac:dyDescent="0.25">
      <c r="A36" s="447" t="s">
        <v>473</v>
      </c>
      <c r="B36" s="448"/>
      <c r="C36" s="448"/>
      <c r="D36" s="448"/>
      <c r="E36" s="448"/>
      <c r="F36" s="448"/>
      <c r="G36" s="448"/>
      <c r="H36" s="448"/>
      <c r="I36" s="98">
        <v>40</v>
      </c>
      <c r="J36" s="149"/>
      <c r="K36" s="396"/>
      <c r="L36" s="396"/>
      <c r="M36" s="396"/>
      <c r="N36" s="396"/>
      <c r="O36" s="396"/>
      <c r="P36" s="142">
        <v>1</v>
      </c>
      <c r="Q36" s="72"/>
    </row>
    <row r="37" spans="1:17" x14ac:dyDescent="0.25">
      <c r="A37" s="447" t="s">
        <v>0</v>
      </c>
      <c r="B37" s="448"/>
      <c r="C37" s="448"/>
      <c r="D37" s="448"/>
      <c r="E37" s="448"/>
      <c r="F37" s="448"/>
      <c r="G37" s="448"/>
      <c r="H37" s="448"/>
      <c r="I37" s="18">
        <f>'темп граф'!B60</f>
        <v>6.5544159544159539</v>
      </c>
      <c r="J37" s="148">
        <f>'темп граф'!B61</f>
        <v>-0.88395721925133708</v>
      </c>
      <c r="K37" s="396"/>
      <c r="L37" s="396"/>
      <c r="M37" s="396"/>
      <c r="N37" s="396"/>
      <c r="O37" s="396"/>
      <c r="P37" s="142">
        <v>1</v>
      </c>
      <c r="Q37" s="72"/>
    </row>
    <row r="38" spans="1:17" x14ac:dyDescent="0.25">
      <c r="A38" s="447" t="s">
        <v>24</v>
      </c>
      <c r="B38" s="448"/>
      <c r="C38" s="448"/>
      <c r="D38" s="448"/>
      <c r="E38" s="448"/>
      <c r="F38" s="448"/>
      <c r="G38" s="448"/>
      <c r="H38" s="448"/>
      <c r="I38" s="90">
        <f>I41</f>
        <v>10</v>
      </c>
      <c r="J38" s="150">
        <f>J41</f>
        <v>5</v>
      </c>
      <c r="K38" s="396"/>
      <c r="L38" s="396"/>
      <c r="M38" s="396"/>
      <c r="N38" s="396"/>
      <c r="O38" s="396"/>
      <c r="P38" s="142">
        <v>1</v>
      </c>
    </row>
    <row r="39" spans="1:17" x14ac:dyDescent="0.25">
      <c r="A39" s="447" t="s">
        <v>25</v>
      </c>
      <c r="B39" s="448"/>
      <c r="C39" s="448"/>
      <c r="D39" s="448"/>
      <c r="E39" s="448"/>
      <c r="F39" s="448"/>
      <c r="G39" s="448"/>
      <c r="H39" s="448"/>
      <c r="I39" s="95">
        <f>'темп граф'!I60</f>
        <v>351</v>
      </c>
      <c r="J39" s="147">
        <f>'темп граф'!I61</f>
        <v>187</v>
      </c>
      <c r="K39" s="396"/>
      <c r="L39" s="396"/>
      <c r="M39" s="396"/>
      <c r="N39" s="396"/>
      <c r="O39" s="396"/>
      <c r="P39" s="142">
        <v>1</v>
      </c>
    </row>
    <row r="40" spans="1:17" ht="32.25" customHeight="1" x14ac:dyDescent="0.25">
      <c r="A40" s="442" t="s">
        <v>439</v>
      </c>
      <c r="B40" s="443"/>
      <c r="C40" s="443"/>
      <c r="D40" s="443"/>
      <c r="E40" s="443"/>
      <c r="F40" s="443"/>
      <c r="G40" s="443"/>
      <c r="H40" s="444"/>
      <c r="I40" s="325">
        <v>6.5</v>
      </c>
      <c r="J40" s="326">
        <v>-0.9</v>
      </c>
      <c r="K40" s="445"/>
      <c r="L40" s="446"/>
      <c r="M40" s="446"/>
      <c r="N40" s="446"/>
      <c r="O40" s="446"/>
      <c r="P40" s="142">
        <v>1</v>
      </c>
    </row>
    <row r="41" spans="1:17" ht="27" customHeight="1" thickBot="1" x14ac:dyDescent="0.3">
      <c r="A41" s="393" t="s">
        <v>440</v>
      </c>
      <c r="B41" s="394"/>
      <c r="C41" s="394"/>
      <c r="D41" s="394"/>
      <c r="E41" s="394"/>
      <c r="F41" s="394"/>
      <c r="G41" s="394"/>
      <c r="H41" s="395"/>
      <c r="I41" s="327">
        <v>10</v>
      </c>
      <c r="J41" s="328">
        <v>5</v>
      </c>
      <c r="K41" s="396"/>
      <c r="L41" s="396"/>
      <c r="M41" s="396"/>
      <c r="N41" s="396"/>
      <c r="O41" s="396"/>
      <c r="P41" s="142">
        <v>1</v>
      </c>
    </row>
    <row r="42" spans="1:17" x14ac:dyDescent="0.25">
      <c r="A42" s="397"/>
      <c r="B42" s="398"/>
      <c r="C42" s="398"/>
      <c r="D42" s="398"/>
      <c r="E42" s="398"/>
      <c r="F42" s="398"/>
      <c r="G42" s="398"/>
      <c r="H42" s="399"/>
      <c r="I42" s="143"/>
      <c r="J42" s="144"/>
    </row>
    <row r="43" spans="1:17" s="54" customFormat="1" ht="34.5" hidden="1" customHeight="1" thickBot="1" x14ac:dyDescent="0.3">
      <c r="A43" s="402" t="s">
        <v>63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74"/>
    </row>
    <row r="44" spans="1:17" s="22" customFormat="1" ht="98.25" hidden="1" customHeight="1" thickBot="1" x14ac:dyDescent="0.3">
      <c r="A44" s="260" t="s">
        <v>26</v>
      </c>
      <c r="B44" s="261" t="s">
        <v>27</v>
      </c>
      <c r="C44" s="261" t="s">
        <v>28</v>
      </c>
      <c r="D44" s="262" t="s">
        <v>29</v>
      </c>
      <c r="E44" s="403"/>
      <c r="F44" s="403"/>
      <c r="G44" s="260" t="s">
        <v>30</v>
      </c>
      <c r="H44" s="262" t="s">
        <v>31</v>
      </c>
      <c r="I44" s="411"/>
      <c r="J44" s="411"/>
      <c r="K44" s="298" t="s">
        <v>34</v>
      </c>
      <c r="L44" s="299" t="s">
        <v>35</v>
      </c>
      <c r="M44" s="416"/>
      <c r="N44" s="416"/>
      <c r="O44" s="300" t="s">
        <v>78</v>
      </c>
      <c r="P44" s="408"/>
      <c r="Q44" s="27"/>
    </row>
    <row r="45" spans="1:17" s="22" customFormat="1" ht="14.25" hidden="1" x14ac:dyDescent="0.25">
      <c r="A45" s="25" t="s">
        <v>40</v>
      </c>
      <c r="B45" s="25" t="s">
        <v>40</v>
      </c>
      <c r="C45" s="25" t="s">
        <v>41</v>
      </c>
      <c r="D45" s="25" t="s">
        <v>41</v>
      </c>
      <c r="E45" s="404"/>
      <c r="F45" s="405"/>
      <c r="G45" s="25" t="s">
        <v>42</v>
      </c>
      <c r="H45" s="25" t="s">
        <v>42</v>
      </c>
      <c r="I45" s="412"/>
      <c r="J45" s="413"/>
      <c r="K45" s="301" t="s">
        <v>15</v>
      </c>
      <c r="L45" s="301" t="s">
        <v>15</v>
      </c>
      <c r="M45" s="417"/>
      <c r="N45" s="418"/>
      <c r="O45" s="302" t="s">
        <v>43</v>
      </c>
      <c r="P45" s="409"/>
      <c r="Q45" s="27"/>
    </row>
    <row r="46" spans="1:17" s="52" customFormat="1" hidden="1" outlineLevel="1" x14ac:dyDescent="0.25">
      <c r="A46" s="53">
        <v>25</v>
      </c>
      <c r="B46" s="53">
        <v>32</v>
      </c>
      <c r="C46" s="73">
        <v>0</v>
      </c>
      <c r="D46" s="73">
        <v>0</v>
      </c>
      <c r="E46" s="404"/>
      <c r="F46" s="405"/>
      <c r="G46" s="56">
        <f>((Q9-N9)/(150-95)*('темп граф'!$C$6-95)+'норм втрати'!N9+('норм втрати'!R9-'норм втрати'!O9)/(150-95)*('темп граф'!$C$6-95)+'норм втрати'!O9)/1.163</f>
        <v>24.153834128038771</v>
      </c>
      <c r="H46" s="56">
        <f>G46*0.5</f>
        <v>12.076917064019385</v>
      </c>
      <c r="I46" s="412"/>
      <c r="J46" s="413"/>
      <c r="K46" s="303">
        <f t="shared" ref="K46:L52" si="0">C46*G46*$I$39*1.2/1000000*24*$P$35</f>
        <v>0</v>
      </c>
      <c r="L46" s="303">
        <f t="shared" si="0"/>
        <v>0</v>
      </c>
      <c r="M46" s="417"/>
      <c r="N46" s="418"/>
      <c r="O46" s="304">
        <f>(C46+D46)*A46*A46/1000000/2*(3.1416*24*0.0025)</f>
        <v>0</v>
      </c>
      <c r="P46" s="409"/>
      <c r="Q46" s="37"/>
    </row>
    <row r="47" spans="1:17" s="52" customFormat="1" hidden="1" outlineLevel="1" x14ac:dyDescent="0.25">
      <c r="A47" s="53">
        <v>40</v>
      </c>
      <c r="B47" s="53">
        <v>45</v>
      </c>
      <c r="C47" s="73">
        <v>0</v>
      </c>
      <c r="D47" s="73">
        <v>0</v>
      </c>
      <c r="E47" s="404"/>
      <c r="F47" s="405"/>
      <c r="G47" s="56">
        <f>((Q10-N10)/(150-95)*('темп граф'!$C$6-95)+'норм втрати'!N10+('норм втрати'!R10-'норм втрати'!O10)/(150-95)*('темп граф'!$C$6-95)+'норм втрати'!O10)/1.163</f>
        <v>27.749550535449067</v>
      </c>
      <c r="H47" s="56">
        <f>G47*0.5</f>
        <v>13.874775267724534</v>
      </c>
      <c r="I47" s="412"/>
      <c r="J47" s="413"/>
      <c r="K47" s="303">
        <f t="shared" si="0"/>
        <v>0</v>
      </c>
      <c r="L47" s="303">
        <f t="shared" si="0"/>
        <v>0</v>
      </c>
      <c r="M47" s="417"/>
      <c r="N47" s="418"/>
      <c r="O47" s="304">
        <f t="shared" ref="O47:O65" si="1">(C47+D47)*A47*A47/1000000/2*(3.1416*24*0.0025)</f>
        <v>0</v>
      </c>
      <c r="P47" s="409"/>
      <c r="Q47" s="37"/>
    </row>
    <row r="48" spans="1:17" s="52" customFormat="1" hidden="1" outlineLevel="1" x14ac:dyDescent="0.25">
      <c r="A48" s="53">
        <v>50</v>
      </c>
      <c r="B48" s="53">
        <v>57</v>
      </c>
      <c r="C48" s="73">
        <v>0</v>
      </c>
      <c r="D48" s="73">
        <v>0</v>
      </c>
      <c r="E48" s="404"/>
      <c r="F48" s="405"/>
      <c r="G48" s="56">
        <f>((Q11-N11)/(150-95)*('темп граф'!$C$6-95)+'норм втрати'!N11+('норм втрати'!R11-'норм втрати'!O11)/(150-95)*('темп граф'!$C$6-95)+'норм втрати'!O11)/1.163</f>
        <v>30.329086219026024</v>
      </c>
      <c r="H48" s="56">
        <f>G48*0.5</f>
        <v>15.164543109513012</v>
      </c>
      <c r="I48" s="412"/>
      <c r="J48" s="413"/>
      <c r="K48" s="303">
        <f t="shared" si="0"/>
        <v>0</v>
      </c>
      <c r="L48" s="303">
        <f t="shared" si="0"/>
        <v>0</v>
      </c>
      <c r="M48" s="417"/>
      <c r="N48" s="418"/>
      <c r="O48" s="304">
        <f t="shared" si="1"/>
        <v>0</v>
      </c>
      <c r="P48" s="409"/>
      <c r="Q48" s="37"/>
    </row>
    <row r="49" spans="1:17" s="52" customFormat="1" hidden="1" outlineLevel="1" x14ac:dyDescent="0.25">
      <c r="A49" s="53">
        <v>65</v>
      </c>
      <c r="B49" s="53">
        <v>76</v>
      </c>
      <c r="C49" s="73">
        <v>0</v>
      </c>
      <c r="D49" s="73">
        <v>0</v>
      </c>
      <c r="E49" s="404"/>
      <c r="F49" s="405"/>
      <c r="G49" s="56">
        <f>((Q12-N12)/(150-95)*('темп граф'!$C$6-95)+'норм втрати'!N12+('норм втрати'!R12-'норм втрати'!O12)/(150-95)*('темп граф'!$C$6-95)+'норм втрати'!O12)/1.163</f>
        <v>35.097318846244036</v>
      </c>
      <c r="H49" s="56">
        <f>G49*0.5</f>
        <v>17.548659423122018</v>
      </c>
      <c r="I49" s="412"/>
      <c r="J49" s="413"/>
      <c r="K49" s="303">
        <f t="shared" si="0"/>
        <v>0</v>
      </c>
      <c r="L49" s="303">
        <f t="shared" si="0"/>
        <v>0</v>
      </c>
      <c r="M49" s="417"/>
      <c r="N49" s="418"/>
      <c r="O49" s="304">
        <f t="shared" si="1"/>
        <v>0</v>
      </c>
      <c r="P49" s="409"/>
      <c r="Q49" s="37"/>
    </row>
    <row r="50" spans="1:17" s="52" customFormat="1" hidden="1" outlineLevel="1" x14ac:dyDescent="0.25">
      <c r="A50" s="53">
        <v>80</v>
      </c>
      <c r="B50" s="53">
        <v>89</v>
      </c>
      <c r="C50" s="73">
        <v>0</v>
      </c>
      <c r="D50" s="73">
        <v>0</v>
      </c>
      <c r="E50" s="404"/>
      <c r="F50" s="405"/>
      <c r="G50" s="56">
        <f>((Q13-N13)/(150-95)*('темп граф'!$C$6-95)+'норм втрати'!N13+('норм втрати'!R13-'норм втрати'!O13)/(150-95)*('темп граф'!$C$6-95)+'норм втрати'!O13)/1.163</f>
        <v>37.676854529820993</v>
      </c>
      <c r="H50" s="56">
        <f>G50*0.6</f>
        <v>22.606112717892596</v>
      </c>
      <c r="I50" s="412"/>
      <c r="J50" s="413"/>
      <c r="K50" s="303">
        <f>C50*G50*$I$39*1.2/1000000*24*$P$35</f>
        <v>0</v>
      </c>
      <c r="L50" s="303">
        <f t="shared" si="0"/>
        <v>0</v>
      </c>
      <c r="M50" s="417"/>
      <c r="N50" s="418"/>
      <c r="O50" s="304">
        <f t="shared" si="1"/>
        <v>0</v>
      </c>
      <c r="P50" s="409"/>
      <c r="Q50" s="37"/>
    </row>
    <row r="51" spans="1:17" s="52" customFormat="1" hidden="1" outlineLevel="1" x14ac:dyDescent="0.25">
      <c r="A51" s="53">
        <v>100</v>
      </c>
      <c r="B51" s="53">
        <v>108</v>
      </c>
      <c r="C51" s="73">
        <v>0</v>
      </c>
      <c r="D51" s="73">
        <v>0</v>
      </c>
      <c r="E51" s="404"/>
      <c r="F51" s="405"/>
      <c r="G51" s="56">
        <f>((Q14-N14)/(150-95)*('темп граф'!$C$6-95)+'норм втрати'!N14+('норм втрати'!R14-'норм втрати'!O14)/(150-95)*('темп граф'!$C$6-95)+'норм втрати'!O14)/1.163</f>
        <v>42.132416165090284</v>
      </c>
      <c r="H51" s="56">
        <f>G51*0.6</f>
        <v>25.279449699054169</v>
      </c>
      <c r="I51" s="412"/>
      <c r="J51" s="413"/>
      <c r="K51" s="303">
        <f t="shared" si="0"/>
        <v>0</v>
      </c>
      <c r="L51" s="303">
        <f t="shared" si="0"/>
        <v>0</v>
      </c>
      <c r="M51" s="417"/>
      <c r="N51" s="418"/>
      <c r="O51" s="304">
        <f t="shared" si="1"/>
        <v>0</v>
      </c>
      <c r="P51" s="409"/>
      <c r="Q51" s="37"/>
    </row>
    <row r="52" spans="1:17" s="52" customFormat="1" hidden="1" outlineLevel="1" x14ac:dyDescent="0.25">
      <c r="A52" s="53">
        <v>125</v>
      </c>
      <c r="B52" s="53">
        <v>133</v>
      </c>
      <c r="C52" s="73">
        <v>0</v>
      </c>
      <c r="D52" s="73">
        <v>0</v>
      </c>
      <c r="E52" s="404"/>
      <c r="F52" s="405"/>
      <c r="G52" s="56">
        <f>((Q15-N15)/(150-95)*('темп граф'!$C$6-95)+'норм втрати'!N15+('норм втрати'!R15-'норм втрати'!O15)/(150-95)*('темп граф'!$C$6-95)+'норм втрати'!O15)/1.163</f>
        <v>45.962635816462125</v>
      </c>
      <c r="H52" s="56">
        <f>G52*0.6</f>
        <v>27.577581489877275</v>
      </c>
      <c r="I52" s="412"/>
      <c r="J52" s="413"/>
      <c r="K52" s="303">
        <f t="shared" si="0"/>
        <v>0</v>
      </c>
      <c r="L52" s="303">
        <f t="shared" si="0"/>
        <v>0</v>
      </c>
      <c r="M52" s="417"/>
      <c r="N52" s="418"/>
      <c r="O52" s="304">
        <f t="shared" si="1"/>
        <v>0</v>
      </c>
      <c r="P52" s="409"/>
      <c r="Q52" s="37"/>
    </row>
    <row r="53" spans="1:17" s="52" customFormat="1" hidden="1" outlineLevel="1" x14ac:dyDescent="0.25">
      <c r="A53" s="53">
        <v>150</v>
      </c>
      <c r="B53" s="53">
        <v>159</v>
      </c>
      <c r="C53" s="73">
        <v>0</v>
      </c>
      <c r="D53" s="73">
        <v>0</v>
      </c>
      <c r="E53" s="404"/>
      <c r="F53" s="405"/>
      <c r="G53" s="56">
        <f>((Q16-N16)/(150-95)*('темп граф'!$C$6-95)+'норм втрати'!N16+('норм втрати'!R16-'норм втрати'!O16)/(150-95)*('темп граф'!$C$6-95)+'норм втрати'!O16)/1.163</f>
        <v>47.838661768154452</v>
      </c>
      <c r="H53" s="56">
        <f>G53*0.6</f>
        <v>28.70319706089267</v>
      </c>
      <c r="I53" s="412"/>
      <c r="J53" s="413"/>
      <c r="K53" s="303">
        <f>C53*G53*$I$39*1.15/1000000*24*$P$35</f>
        <v>0</v>
      </c>
      <c r="L53" s="303">
        <f>D53*H53*$I$39*1.15/1000000*24*$P$35</f>
        <v>0</v>
      </c>
      <c r="M53" s="417"/>
      <c r="N53" s="418"/>
      <c r="O53" s="304">
        <f t="shared" si="1"/>
        <v>0</v>
      </c>
      <c r="P53" s="409"/>
      <c r="Q53" s="37"/>
    </row>
    <row r="54" spans="1:17" s="52" customFormat="1" hidden="1" outlineLevel="1" x14ac:dyDescent="0.25">
      <c r="A54" s="53">
        <v>200</v>
      </c>
      <c r="B54" s="53">
        <v>219</v>
      </c>
      <c r="C54" s="73">
        <v>0</v>
      </c>
      <c r="D54" s="73">
        <v>0</v>
      </c>
      <c r="E54" s="404"/>
      <c r="F54" s="405"/>
      <c r="G54" s="56">
        <f>((Q17-N17)/(150-95)*('темп граф'!$C$6-95)+'норм втрати'!N17+('норм втрати'!R17-'норм втрати'!O17)/(150-95)*('темп граф'!$C$6-95)+'норм втрати'!O17)/1.163</f>
        <v>58.31313999843664</v>
      </c>
      <c r="H54" s="56">
        <f>G54*0.7</f>
        <v>40.819197998905643</v>
      </c>
      <c r="I54" s="412"/>
      <c r="J54" s="413"/>
      <c r="K54" s="303">
        <f t="shared" ref="K54:L65" si="2">C54*G54*$I$39*1.15/1000000*24*$P$35</f>
        <v>0</v>
      </c>
      <c r="L54" s="303">
        <f t="shared" si="2"/>
        <v>0</v>
      </c>
      <c r="M54" s="417"/>
      <c r="N54" s="418"/>
      <c r="O54" s="304">
        <f t="shared" si="1"/>
        <v>0</v>
      </c>
      <c r="P54" s="409"/>
      <c r="Q54" s="37"/>
    </row>
    <row r="55" spans="1:17" s="52" customFormat="1" hidden="1" outlineLevel="1" x14ac:dyDescent="0.25">
      <c r="A55" s="53">
        <v>250</v>
      </c>
      <c r="B55" s="53">
        <v>273</v>
      </c>
      <c r="C55" s="73">
        <v>0</v>
      </c>
      <c r="D55" s="73">
        <v>0</v>
      </c>
      <c r="E55" s="404"/>
      <c r="F55" s="405"/>
      <c r="G55" s="56">
        <f>((Q18-N18)/(150-95)*('темп граф'!$C$6-95)+'норм втрати'!N18+('норм втрати'!R18-'норм втрати'!O18)/(150-95)*('темп граф'!$C$6-95)+'норм втрати'!O18)/1.163</f>
        <v>66.677089033064959</v>
      </c>
      <c r="H55" s="56">
        <f>G55*0.7</f>
        <v>46.673962323145467</v>
      </c>
      <c r="I55" s="412"/>
      <c r="J55" s="413"/>
      <c r="K55" s="303">
        <f t="shared" si="2"/>
        <v>0</v>
      </c>
      <c r="L55" s="303">
        <f t="shared" si="2"/>
        <v>0</v>
      </c>
      <c r="M55" s="417"/>
      <c r="N55" s="418"/>
      <c r="O55" s="304">
        <f t="shared" si="1"/>
        <v>0</v>
      </c>
      <c r="P55" s="409"/>
      <c r="Q55" s="37"/>
    </row>
    <row r="56" spans="1:17" s="52" customFormat="1" hidden="1" outlineLevel="1" x14ac:dyDescent="0.25">
      <c r="A56" s="53">
        <v>300</v>
      </c>
      <c r="B56" s="53">
        <v>325</v>
      </c>
      <c r="C56" s="73">
        <v>0</v>
      </c>
      <c r="D56" s="73">
        <v>0</v>
      </c>
      <c r="E56" s="404"/>
      <c r="F56" s="405"/>
      <c r="G56" s="56">
        <f>((Q19-N19)/(150-95)*('темп граф'!$C$6-95)+'норм втрати'!N19+('норм втрати'!R19-'норм втрати'!O19)/(150-95)*('темп граф'!$C$6-95)+'норм втрати'!O19)/1.163</f>
        <v>73.7121863519112</v>
      </c>
      <c r="H56" s="56">
        <f>G56*0.7</f>
        <v>51.59853044633784</v>
      </c>
      <c r="I56" s="412"/>
      <c r="J56" s="413"/>
      <c r="K56" s="303">
        <f t="shared" si="2"/>
        <v>0</v>
      </c>
      <c r="L56" s="303">
        <f t="shared" si="2"/>
        <v>0</v>
      </c>
      <c r="M56" s="417"/>
      <c r="N56" s="418"/>
      <c r="O56" s="304">
        <f t="shared" si="1"/>
        <v>0</v>
      </c>
      <c r="P56" s="409"/>
      <c r="Q56" s="37"/>
    </row>
    <row r="57" spans="1:17" s="52" customFormat="1" hidden="1" outlineLevel="1" x14ac:dyDescent="0.25">
      <c r="A57" s="53">
        <v>350</v>
      </c>
      <c r="B57" s="53">
        <v>377</v>
      </c>
      <c r="C57" s="73">
        <v>0</v>
      </c>
      <c r="D57" s="73">
        <v>0</v>
      </c>
      <c r="E57" s="404"/>
      <c r="F57" s="405"/>
      <c r="G57" s="56">
        <f>((Q20-N20)/(150-95)*('темп граф'!$C$6-95)+'норм втрати'!N20+('норм втрати'!R20-'норм втрати'!O20)/(150-95)*('темп граф'!$C$6-95)+'норм втрати'!O20)/1.163</f>
        <v>81.138122410693356</v>
      </c>
      <c r="H57" s="56">
        <f t="shared" ref="H57:H65" si="3">G57*0.8</f>
        <v>64.91049792855469</v>
      </c>
      <c r="I57" s="412"/>
      <c r="J57" s="413"/>
      <c r="K57" s="303">
        <f t="shared" si="2"/>
        <v>0</v>
      </c>
      <c r="L57" s="303">
        <f t="shared" si="2"/>
        <v>0</v>
      </c>
      <c r="M57" s="417"/>
      <c r="N57" s="418"/>
      <c r="O57" s="304">
        <f t="shared" si="1"/>
        <v>0</v>
      </c>
      <c r="P57" s="409"/>
      <c r="Q57" s="37"/>
    </row>
    <row r="58" spans="1:17" s="52" customFormat="1" hidden="1" outlineLevel="1" x14ac:dyDescent="0.25">
      <c r="A58" s="53">
        <v>400</v>
      </c>
      <c r="B58" s="53">
        <v>426</v>
      </c>
      <c r="C58" s="73">
        <v>0</v>
      </c>
      <c r="D58" s="73">
        <v>0</v>
      </c>
      <c r="E58" s="404"/>
      <c r="F58" s="405"/>
      <c r="G58" s="56">
        <f>((Q21-N21)/(150-95)*('темп граф'!$C$6-95)+'норм втрати'!N21+('норм втрати'!R21-'норм втрати'!O21)/(150-95)*('темп граф'!$C$6-95)+'норм втрати'!O21)/1.163</f>
        <v>85.515516297975452</v>
      </c>
      <c r="H58" s="56">
        <f t="shared" si="3"/>
        <v>68.412413038380365</v>
      </c>
      <c r="I58" s="412"/>
      <c r="J58" s="413"/>
      <c r="K58" s="303">
        <f t="shared" si="2"/>
        <v>0</v>
      </c>
      <c r="L58" s="303">
        <f t="shared" si="2"/>
        <v>0</v>
      </c>
      <c r="M58" s="417"/>
      <c r="N58" s="418"/>
      <c r="O58" s="304">
        <f t="shared" si="1"/>
        <v>0</v>
      </c>
      <c r="P58" s="409"/>
      <c r="Q58" s="37"/>
    </row>
    <row r="59" spans="1:17" s="52" customFormat="1" hidden="1" outlineLevel="1" x14ac:dyDescent="0.25">
      <c r="A59" s="53">
        <v>450</v>
      </c>
      <c r="B59" s="53">
        <v>478</v>
      </c>
      <c r="C59" s="73">
        <v>0</v>
      </c>
      <c r="D59" s="73">
        <v>0</v>
      </c>
      <c r="E59" s="404"/>
      <c r="F59" s="405"/>
      <c r="G59" s="56">
        <f>((Q22-N22)/(150-95)*('темп граф'!$C$6-95)+'норм втрати'!N22+('норм втрати'!R22-'норм втрати'!O22)/(150-95)*('темп граф'!$C$6-95)+'норм втрати'!O22)/1.163</f>
        <v>97.55334948800126</v>
      </c>
      <c r="H59" s="56">
        <f t="shared" si="3"/>
        <v>78.042679590401008</v>
      </c>
      <c r="I59" s="412"/>
      <c r="J59" s="413"/>
      <c r="K59" s="303">
        <f t="shared" si="2"/>
        <v>0</v>
      </c>
      <c r="L59" s="303">
        <f t="shared" si="2"/>
        <v>0</v>
      </c>
      <c r="M59" s="417"/>
      <c r="N59" s="418"/>
      <c r="O59" s="304">
        <f t="shared" si="1"/>
        <v>0</v>
      </c>
      <c r="P59" s="409"/>
      <c r="Q59" s="37"/>
    </row>
    <row r="60" spans="1:17" s="52" customFormat="1" hidden="1" outlineLevel="1" x14ac:dyDescent="0.25">
      <c r="A60" s="53">
        <v>500</v>
      </c>
      <c r="B60" s="53">
        <v>529</v>
      </c>
      <c r="C60" s="73">
        <v>0</v>
      </c>
      <c r="D60" s="73">
        <v>0</v>
      </c>
      <c r="E60" s="404"/>
      <c r="F60" s="405"/>
      <c r="G60" s="56">
        <f>((Q23-N23)/(150-95)*('темп граф'!$C$6-95)+'норм втрати'!N23+('норм втрати'!R23-'норм втрати'!O23)/(150-95)*('темп граф'!$C$6-95)+'норм втрати'!O23)/1.163</f>
        <v>100.05471742359101</v>
      </c>
      <c r="H60" s="56">
        <f t="shared" si="3"/>
        <v>80.043773938872818</v>
      </c>
      <c r="I60" s="412"/>
      <c r="J60" s="413"/>
      <c r="K60" s="303">
        <f t="shared" si="2"/>
        <v>0</v>
      </c>
      <c r="L60" s="303">
        <f t="shared" si="2"/>
        <v>0</v>
      </c>
      <c r="M60" s="417"/>
      <c r="N60" s="418"/>
      <c r="O60" s="304">
        <f t="shared" si="1"/>
        <v>0</v>
      </c>
      <c r="P60" s="409"/>
      <c r="Q60" s="37"/>
    </row>
    <row r="61" spans="1:17" s="52" customFormat="1" hidden="1" outlineLevel="1" x14ac:dyDescent="0.25">
      <c r="A61" s="53">
        <v>600</v>
      </c>
      <c r="B61" s="53">
        <v>630</v>
      </c>
      <c r="C61" s="73">
        <v>0</v>
      </c>
      <c r="D61" s="73">
        <v>0</v>
      </c>
      <c r="E61" s="404"/>
      <c r="F61" s="405"/>
      <c r="G61" s="56">
        <f>((Q24-N24)/(150-95)*('темп граф'!$C$6-95)+'норм втрати'!N24+('норм втрати'!R24-'норм втрати'!O24)/(150-95)*('темп граф'!$C$6-95)+'норм втрати'!O24)/1.163</f>
        <v>114.20307980927069</v>
      </c>
      <c r="H61" s="56">
        <f t="shared" si="3"/>
        <v>91.362463847416564</v>
      </c>
      <c r="I61" s="412"/>
      <c r="J61" s="413"/>
      <c r="K61" s="303">
        <f t="shared" si="2"/>
        <v>0</v>
      </c>
      <c r="L61" s="303">
        <f t="shared" si="2"/>
        <v>0</v>
      </c>
      <c r="M61" s="417"/>
      <c r="N61" s="418"/>
      <c r="O61" s="304">
        <f t="shared" si="1"/>
        <v>0</v>
      </c>
      <c r="P61" s="409"/>
      <c r="Q61" s="37"/>
    </row>
    <row r="62" spans="1:17" s="52" customFormat="1" hidden="1" outlineLevel="1" x14ac:dyDescent="0.25">
      <c r="A62" s="53">
        <v>700</v>
      </c>
      <c r="B62" s="53">
        <v>720</v>
      </c>
      <c r="C62" s="73">
        <v>0</v>
      </c>
      <c r="D62" s="73">
        <v>0</v>
      </c>
      <c r="E62" s="404"/>
      <c r="F62" s="405"/>
      <c r="G62" s="56">
        <f>((Q25-N25)/(150-95)*('темп граф'!$C$6-95)+'норм втрати'!N25+('норм втрати'!R25-'норм втрати'!O25)/(150-95)*('темп граф'!$C$6-95)+'норм втрати'!O25)/1.163</f>
        <v>127.72610021105292</v>
      </c>
      <c r="H62" s="56">
        <f t="shared" si="3"/>
        <v>102.18088016884235</v>
      </c>
      <c r="I62" s="412"/>
      <c r="J62" s="413"/>
      <c r="K62" s="303">
        <f t="shared" si="2"/>
        <v>0</v>
      </c>
      <c r="L62" s="303">
        <f t="shared" si="2"/>
        <v>0</v>
      </c>
      <c r="M62" s="417"/>
      <c r="N62" s="418"/>
      <c r="O62" s="304">
        <f t="shared" si="1"/>
        <v>0</v>
      </c>
      <c r="P62" s="409"/>
      <c r="Q62" s="37"/>
    </row>
    <row r="63" spans="1:17" s="52" customFormat="1" hidden="1" outlineLevel="1" x14ac:dyDescent="0.25">
      <c r="A63" s="53">
        <v>800</v>
      </c>
      <c r="B63" s="53">
        <v>820</v>
      </c>
      <c r="C63" s="73">
        <v>0</v>
      </c>
      <c r="D63" s="73">
        <v>0</v>
      </c>
      <c r="E63" s="404"/>
      <c r="F63" s="405"/>
      <c r="G63" s="56">
        <f>((Q26-N26)/(150-95)*('темп граф'!$C$6-95)+'норм втрати'!N26+('норм втрати'!R26-'норм втрати'!O26)/(150-95)*('темп граф'!$C$6-95)+'норм втрати'!O26)/1.163</f>
        <v>141.4836238567967</v>
      </c>
      <c r="H63" s="56">
        <f t="shared" si="3"/>
        <v>113.18689908543736</v>
      </c>
      <c r="I63" s="412"/>
      <c r="J63" s="413"/>
      <c r="K63" s="303">
        <f t="shared" si="2"/>
        <v>0</v>
      </c>
      <c r="L63" s="303">
        <f t="shared" si="2"/>
        <v>0</v>
      </c>
      <c r="M63" s="417"/>
      <c r="N63" s="418"/>
      <c r="O63" s="304">
        <f t="shared" si="1"/>
        <v>0</v>
      </c>
      <c r="P63" s="409"/>
      <c r="Q63" s="37"/>
    </row>
    <row r="64" spans="1:17" s="52" customFormat="1" hidden="1" outlineLevel="1" x14ac:dyDescent="0.25">
      <c r="A64" s="53">
        <v>900</v>
      </c>
      <c r="B64" s="53">
        <v>920</v>
      </c>
      <c r="C64" s="73">
        <v>0</v>
      </c>
      <c r="D64" s="73">
        <v>0</v>
      </c>
      <c r="E64" s="404"/>
      <c r="F64" s="405"/>
      <c r="G64" s="56">
        <f>((Q27-N27)/(150-95)*('темп граф'!$C$6-95)+'норм втрати'!N27+('норм втрати'!R27-'норм втрати'!O27)/(150-95)*('темп граф'!$C$6-95)+'норм втрати'!O27)/1.163</f>
        <v>153.05245055889938</v>
      </c>
      <c r="H64" s="56">
        <f t="shared" si="3"/>
        <v>122.44196044711951</v>
      </c>
      <c r="I64" s="412"/>
      <c r="J64" s="413"/>
      <c r="K64" s="303">
        <f t="shared" si="2"/>
        <v>0</v>
      </c>
      <c r="L64" s="303">
        <f t="shared" si="2"/>
        <v>0</v>
      </c>
      <c r="M64" s="417"/>
      <c r="N64" s="418"/>
      <c r="O64" s="304">
        <f t="shared" si="1"/>
        <v>0</v>
      </c>
      <c r="P64" s="409"/>
      <c r="Q64" s="37"/>
    </row>
    <row r="65" spans="1:28" s="52" customFormat="1" hidden="1" outlineLevel="1" x14ac:dyDescent="0.25">
      <c r="A65" s="53">
        <v>1000</v>
      </c>
      <c r="B65" s="53">
        <v>1020</v>
      </c>
      <c r="C65" s="73">
        <v>0</v>
      </c>
      <c r="D65" s="73">
        <v>0</v>
      </c>
      <c r="E65" s="404"/>
      <c r="F65" s="405"/>
      <c r="G65" s="56">
        <f>((Q28-N28)/(150-95)*('темп граф'!$C$6-95)+'норм втрати'!N28+('норм втрати'!R28-'норм втрати'!O28)/(150-95)*('темп граф'!$C$6-95)+'норм втрати'!O28)/1.163</f>
        <v>165.87196122879701</v>
      </c>
      <c r="H65" s="56">
        <f t="shared" si="3"/>
        <v>132.6975689830376</v>
      </c>
      <c r="I65" s="412"/>
      <c r="J65" s="413"/>
      <c r="K65" s="303">
        <f t="shared" si="2"/>
        <v>0</v>
      </c>
      <c r="L65" s="303">
        <f t="shared" si="2"/>
        <v>0</v>
      </c>
      <c r="M65" s="417"/>
      <c r="N65" s="418"/>
      <c r="O65" s="304">
        <f t="shared" si="1"/>
        <v>0</v>
      </c>
      <c r="P65" s="409"/>
      <c r="Q65" s="37"/>
    </row>
    <row r="66" spans="1:28" s="30" customFormat="1" ht="45.75" hidden="1" customHeight="1" x14ac:dyDescent="0.25">
      <c r="A66" s="400" t="s">
        <v>46</v>
      </c>
      <c r="B66" s="401"/>
      <c r="C66" s="28">
        <f>SUM(C46:C65)</f>
        <v>0</v>
      </c>
      <c r="D66" s="28">
        <f>SUM(D46:D65)</f>
        <v>0</v>
      </c>
      <c r="E66" s="406"/>
      <c r="F66" s="407"/>
      <c r="G66" s="15">
        <f>IF(C66=0,0,SUMPRODUCT(C46:C65,G46:G65)/C66)</f>
        <v>0</v>
      </c>
      <c r="H66" s="15">
        <f>IF(D66=0,0,SUMPRODUCT(D46:D65,H46:H65)/D66)</f>
        <v>0</v>
      </c>
      <c r="I66" s="414"/>
      <c r="J66" s="415"/>
      <c r="K66" s="305">
        <f>SUM(K46:K65)</f>
        <v>0</v>
      </c>
      <c r="L66" s="305">
        <f>SUM(L46:L65)</f>
        <v>0</v>
      </c>
      <c r="M66" s="419"/>
      <c r="N66" s="420"/>
      <c r="O66" s="306">
        <f>SUM(O46:O65)</f>
        <v>0</v>
      </c>
      <c r="P66" s="410"/>
      <c r="Q66" s="29"/>
    </row>
    <row r="67" spans="1:28" s="54" customFormat="1" ht="33" hidden="1" customHeight="1" x14ac:dyDescent="0.25">
      <c r="A67" s="428" t="s">
        <v>64</v>
      </c>
      <c r="B67" s="428"/>
      <c r="C67" s="428"/>
      <c r="D67" s="428"/>
      <c r="E67" s="428"/>
      <c r="F67" s="428"/>
      <c r="G67" s="428"/>
      <c r="H67" s="428"/>
      <c r="I67" s="428"/>
      <c r="J67" s="428"/>
      <c r="K67" s="428"/>
      <c r="L67" s="428"/>
      <c r="M67" s="428"/>
      <c r="N67" s="428"/>
      <c r="O67" s="428"/>
      <c r="P67" s="428"/>
      <c r="Q67" s="74"/>
    </row>
    <row r="68" spans="1:28" s="24" customFormat="1" ht="93" hidden="1" customHeight="1" x14ac:dyDescent="0.25">
      <c r="A68" s="24" t="s">
        <v>26</v>
      </c>
      <c r="B68" s="24" t="s">
        <v>27</v>
      </c>
      <c r="C68" s="24" t="s">
        <v>28</v>
      </c>
      <c r="D68" s="24" t="s">
        <v>29</v>
      </c>
      <c r="E68" s="421"/>
      <c r="F68" s="422"/>
      <c r="G68" s="24" t="s">
        <v>30</v>
      </c>
      <c r="H68" s="24" t="s">
        <v>31</v>
      </c>
      <c r="I68" s="423"/>
      <c r="J68" s="424"/>
      <c r="K68" s="307" t="s">
        <v>34</v>
      </c>
      <c r="L68" s="307" t="s">
        <v>35</v>
      </c>
      <c r="M68" s="425"/>
      <c r="N68" s="426"/>
      <c r="O68" s="308" t="s">
        <v>38</v>
      </c>
      <c r="P68" s="432"/>
      <c r="Q68" s="21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3"/>
    </row>
    <row r="69" spans="1:28" s="22" customFormat="1" ht="14.25" hidden="1" x14ac:dyDescent="0.25">
      <c r="A69" s="25" t="s">
        <v>40</v>
      </c>
      <c r="B69" s="25" t="s">
        <v>40</v>
      </c>
      <c r="C69" s="25" t="s">
        <v>41</v>
      </c>
      <c r="D69" s="25" t="s">
        <v>41</v>
      </c>
      <c r="E69" s="404"/>
      <c r="F69" s="405"/>
      <c r="G69" s="25" t="s">
        <v>42</v>
      </c>
      <c r="H69" s="25" t="s">
        <v>42</v>
      </c>
      <c r="I69" s="412"/>
      <c r="J69" s="413"/>
      <c r="K69" s="301" t="s">
        <v>15</v>
      </c>
      <c r="L69" s="301" t="s">
        <v>15</v>
      </c>
      <c r="M69" s="417"/>
      <c r="N69" s="418"/>
      <c r="O69" s="302" t="s">
        <v>43</v>
      </c>
      <c r="P69" s="409"/>
      <c r="Q69" s="27"/>
    </row>
    <row r="70" spans="1:28" s="52" customFormat="1" hidden="1" outlineLevel="1" x14ac:dyDescent="0.25">
      <c r="A70" s="53">
        <v>25</v>
      </c>
      <c r="B70" s="53">
        <v>32</v>
      </c>
      <c r="C70" s="73">
        <v>0</v>
      </c>
      <c r="D70" s="73">
        <v>0</v>
      </c>
      <c r="E70" s="404"/>
      <c r="F70" s="405"/>
      <c r="G70" s="56">
        <f>((U9-S9)/(150-95)*('темп граф'!$C$6-95)+'норм втрати'!S9+('норм втрати'!V9-'норм втрати'!T9)/(150-95)*('темп граф'!$C$6-95)+'норм втрати'!T9)/1.163</f>
        <v>51.43437817556476</v>
      </c>
      <c r="H70" s="56">
        <f>G70*0.5</f>
        <v>25.71718908778238</v>
      </c>
      <c r="I70" s="412"/>
      <c r="J70" s="413"/>
      <c r="K70" s="303">
        <f>C70*G70*$I$39*1.15/1000000*24</f>
        <v>0</v>
      </c>
      <c r="L70" s="303">
        <f>D70*H70*$I$39*1.15/1000000*24</f>
        <v>0</v>
      </c>
      <c r="M70" s="417"/>
      <c r="N70" s="418"/>
      <c r="O70" s="304">
        <f>(C70+D70)*A70*A70/1000000/2*(3.1416*24*0.0025)</f>
        <v>0</v>
      </c>
      <c r="P70" s="409"/>
      <c r="Q70" s="37"/>
    </row>
    <row r="71" spans="1:28" s="52" customFormat="1" hidden="1" outlineLevel="1" x14ac:dyDescent="0.25">
      <c r="A71" s="53">
        <v>40</v>
      </c>
      <c r="B71" s="53">
        <v>45</v>
      </c>
      <c r="C71" s="73">
        <v>0</v>
      </c>
      <c r="D71" s="73">
        <v>0</v>
      </c>
      <c r="E71" s="404"/>
      <c r="F71" s="405"/>
      <c r="G71" s="56">
        <f>((U10-S10)/(150-95)*('темп граф'!$C$6-95)+'норм втрати'!S10+('норм втрати'!V10-'норм втрати'!T10)/(150-95)*('темп граф'!$C$6-95)+'норм втрати'!T10)/1.163</f>
        <v>57.179707652622525</v>
      </c>
      <c r="H71" s="56">
        <f>G71*0.5</f>
        <v>28.589853826311263</v>
      </c>
      <c r="I71" s="412"/>
      <c r="J71" s="413"/>
      <c r="K71" s="303">
        <f t="shared" ref="K71:L87" si="4">C71*G71*$I$39*1.15/1000000*24</f>
        <v>0</v>
      </c>
      <c r="L71" s="303">
        <f t="shared" si="4"/>
        <v>0</v>
      </c>
      <c r="M71" s="417"/>
      <c r="N71" s="418"/>
      <c r="O71" s="304">
        <f t="shared" ref="O71:O87" si="5">(C71+D71)*A71*A71/1000000/2*(3.1416*24*0.0025)</f>
        <v>0</v>
      </c>
      <c r="P71" s="409"/>
      <c r="Q71" s="37"/>
    </row>
    <row r="72" spans="1:28" s="52" customFormat="1" hidden="1" outlineLevel="1" x14ac:dyDescent="0.25">
      <c r="A72" s="53">
        <v>50</v>
      </c>
      <c r="B72" s="53">
        <v>57</v>
      </c>
      <c r="C72" s="73">
        <v>0</v>
      </c>
      <c r="D72" s="73">
        <v>0</v>
      </c>
      <c r="E72" s="404"/>
      <c r="F72" s="405"/>
      <c r="G72" s="56">
        <f>((U11-S11)/(150-95)*('темп граф'!$C$6-95)+'норм втрати'!S11+('норм втрати'!V11-'норм втрати'!T11)/(150-95)*('темп граф'!$C$6-95)+'норм втрати'!T11)/1.163</f>
        <v>62.925037129680298</v>
      </c>
      <c r="H72" s="56">
        <f>G72*0.5</f>
        <v>31.462518564840149</v>
      </c>
      <c r="I72" s="412"/>
      <c r="J72" s="413"/>
      <c r="K72" s="303">
        <f t="shared" si="4"/>
        <v>0</v>
      </c>
      <c r="L72" s="303">
        <f t="shared" si="4"/>
        <v>0</v>
      </c>
      <c r="M72" s="417"/>
      <c r="N72" s="418"/>
      <c r="O72" s="304">
        <f t="shared" si="5"/>
        <v>0</v>
      </c>
      <c r="P72" s="409"/>
      <c r="Q72" s="37"/>
    </row>
    <row r="73" spans="1:28" s="52" customFormat="1" hidden="1" outlineLevel="1" x14ac:dyDescent="0.25">
      <c r="A73" s="53">
        <v>65</v>
      </c>
      <c r="B73" s="53">
        <v>76</v>
      </c>
      <c r="C73" s="73">
        <v>0</v>
      </c>
      <c r="D73" s="73">
        <v>0</v>
      </c>
      <c r="E73" s="404"/>
      <c r="F73" s="405"/>
      <c r="G73" s="56">
        <f>((U12-S12)/(150-95)*('темп граф'!$C$6-95)+'норм втрати'!S12+('норм втрати'!V12-'норм втрати'!T12)/(150-95)*('темп граф'!$C$6-95)+'норм втрати'!T12)/1.163</f>
        <v>70.116469944500892</v>
      </c>
      <c r="H73" s="56">
        <f>G73*0.5</f>
        <v>35.058234972250446</v>
      </c>
      <c r="I73" s="412"/>
      <c r="J73" s="413"/>
      <c r="K73" s="303">
        <f t="shared" si="4"/>
        <v>0</v>
      </c>
      <c r="L73" s="303">
        <f t="shared" si="4"/>
        <v>0</v>
      </c>
      <c r="M73" s="417"/>
      <c r="N73" s="418"/>
      <c r="O73" s="304">
        <f t="shared" si="5"/>
        <v>0</v>
      </c>
      <c r="P73" s="409"/>
      <c r="Q73" s="37"/>
    </row>
    <row r="74" spans="1:28" s="52" customFormat="1" hidden="1" outlineLevel="1" x14ac:dyDescent="0.25">
      <c r="A74" s="53">
        <v>80</v>
      </c>
      <c r="B74" s="53">
        <v>89</v>
      </c>
      <c r="C74" s="73">
        <v>0</v>
      </c>
      <c r="D74" s="73">
        <v>0</v>
      </c>
      <c r="E74" s="404"/>
      <c r="F74" s="405"/>
      <c r="G74" s="56">
        <f>((U13-S13)/(150-95)*('темп граф'!$C$6-95)+'норм втрати'!S13+('норм втрати'!V13-'норм втрати'!T13)/(150-95)*('темп граф'!$C$6-95)+'норм втрати'!T13)/1.163</f>
        <v>71.836160400218873</v>
      </c>
      <c r="H74" s="56">
        <f>G74*0.6</f>
        <v>43.101696240131325</v>
      </c>
      <c r="I74" s="412"/>
      <c r="J74" s="413"/>
      <c r="K74" s="303">
        <f t="shared" si="4"/>
        <v>0</v>
      </c>
      <c r="L74" s="303">
        <f t="shared" si="4"/>
        <v>0</v>
      </c>
      <c r="M74" s="417"/>
      <c r="N74" s="418"/>
      <c r="O74" s="304">
        <f t="shared" si="5"/>
        <v>0</v>
      </c>
      <c r="P74" s="409"/>
      <c r="Q74" s="37"/>
    </row>
    <row r="75" spans="1:28" s="52" customFormat="1" hidden="1" outlineLevel="1" x14ac:dyDescent="0.25">
      <c r="A75" s="53">
        <v>100</v>
      </c>
      <c r="B75" s="53">
        <v>108</v>
      </c>
      <c r="C75" s="73">
        <v>0</v>
      </c>
      <c r="D75" s="73">
        <v>0</v>
      </c>
      <c r="E75" s="404"/>
      <c r="F75" s="405"/>
      <c r="G75" s="56">
        <f>((U14-S14)/(150-95)*('темп граф'!$C$6-95)+'норм втрати'!S14+('норм втрати'!V14-'норм втрати'!T14)/(150-95)*('темп граф'!$C$6-95)+'норм втрати'!T14)/1.163</f>
        <v>76.838896271398411</v>
      </c>
      <c r="H75" s="56">
        <f>G75*0.6</f>
        <v>46.103337762839047</v>
      </c>
      <c r="I75" s="412"/>
      <c r="J75" s="413"/>
      <c r="K75" s="303">
        <f t="shared" si="4"/>
        <v>0</v>
      </c>
      <c r="L75" s="303">
        <f t="shared" si="4"/>
        <v>0</v>
      </c>
      <c r="M75" s="417"/>
      <c r="N75" s="418"/>
      <c r="O75" s="304">
        <f t="shared" si="5"/>
        <v>0</v>
      </c>
      <c r="P75" s="409"/>
      <c r="Q75" s="37"/>
    </row>
    <row r="76" spans="1:28" s="52" customFormat="1" hidden="1" outlineLevel="1" x14ac:dyDescent="0.25">
      <c r="A76" s="53">
        <v>125</v>
      </c>
      <c r="B76" s="53">
        <v>133</v>
      </c>
      <c r="C76" s="73">
        <v>0</v>
      </c>
      <c r="D76" s="73">
        <v>0</v>
      </c>
      <c r="E76" s="404"/>
      <c r="F76" s="405"/>
      <c r="G76" s="56">
        <f>((U15-S15)/(150-95)*('темп граф'!$C$6-95)+'норм втрати'!S15+('норм втрати'!V15-'норм втрати'!T15)/(150-95)*('темп граф'!$C$6-95)+'норм втрати'!T15)/1.163</f>
        <v>83.483154850308765</v>
      </c>
      <c r="H76" s="56">
        <f>G76*0.6</f>
        <v>50.089892910185256</v>
      </c>
      <c r="I76" s="412"/>
      <c r="J76" s="413"/>
      <c r="K76" s="303">
        <f t="shared" si="4"/>
        <v>0</v>
      </c>
      <c r="L76" s="303">
        <f t="shared" si="4"/>
        <v>0</v>
      </c>
      <c r="M76" s="417"/>
      <c r="N76" s="418"/>
      <c r="O76" s="304">
        <f t="shared" si="5"/>
        <v>0</v>
      </c>
      <c r="P76" s="409"/>
      <c r="Q76" s="37"/>
    </row>
    <row r="77" spans="1:28" s="52" customFormat="1" hidden="1" outlineLevel="1" x14ac:dyDescent="0.25">
      <c r="A77" s="53">
        <v>150</v>
      </c>
      <c r="B77" s="53">
        <v>159</v>
      </c>
      <c r="C77" s="73">
        <v>0</v>
      </c>
      <c r="D77" s="73">
        <v>0</v>
      </c>
      <c r="E77" s="404"/>
      <c r="F77" s="405"/>
      <c r="G77" s="56">
        <f>((U16-S16)/(150-95)*('темп граф'!$C$6-95)+'норм втрати'!S16+('норм втрати'!V16-'норм втрати'!T16)/(150-95)*('темп граф'!$C$6-95)+'норм втрати'!T16)/1.163</f>
        <v>93.801297584616592</v>
      </c>
      <c r="H77" s="56">
        <f>G77*0.6</f>
        <v>56.280778550769952</v>
      </c>
      <c r="I77" s="412"/>
      <c r="J77" s="413"/>
      <c r="K77" s="303">
        <f t="shared" si="4"/>
        <v>0</v>
      </c>
      <c r="L77" s="303">
        <f t="shared" si="4"/>
        <v>0</v>
      </c>
      <c r="M77" s="417"/>
      <c r="N77" s="418"/>
      <c r="O77" s="304">
        <f t="shared" si="5"/>
        <v>0</v>
      </c>
      <c r="P77" s="409"/>
      <c r="Q77" s="37"/>
    </row>
    <row r="78" spans="1:28" s="52" customFormat="1" hidden="1" outlineLevel="1" x14ac:dyDescent="0.25">
      <c r="A78" s="53">
        <v>200</v>
      </c>
      <c r="B78" s="53">
        <v>219</v>
      </c>
      <c r="C78" s="73">
        <v>0</v>
      </c>
      <c r="D78" s="73">
        <v>0</v>
      </c>
      <c r="E78" s="404"/>
      <c r="F78" s="405"/>
      <c r="G78" s="56">
        <f>((U17-S17)/(150-95)*('темп граф'!$C$6-95)+'норм втрати'!S17+('норм втрати'!V17-'норм втрати'!T17)/(150-95)*('темп граф'!$C$6-95)+'норм втрати'!T17)/1.163</f>
        <v>103.02509184710389</v>
      </c>
      <c r="H78" s="56">
        <f>G78*0.7</f>
        <v>72.117564292972716</v>
      </c>
      <c r="I78" s="412"/>
      <c r="J78" s="413"/>
      <c r="K78" s="303">
        <f t="shared" si="4"/>
        <v>0</v>
      </c>
      <c r="L78" s="303">
        <f t="shared" si="4"/>
        <v>0</v>
      </c>
      <c r="M78" s="417"/>
      <c r="N78" s="418"/>
      <c r="O78" s="304">
        <f t="shared" si="5"/>
        <v>0</v>
      </c>
      <c r="P78" s="409"/>
      <c r="Q78" s="37"/>
    </row>
    <row r="79" spans="1:28" s="52" customFormat="1" hidden="1" outlineLevel="1" x14ac:dyDescent="0.25">
      <c r="A79" s="53">
        <v>250</v>
      </c>
      <c r="B79" s="53">
        <v>273</v>
      </c>
      <c r="C79" s="73">
        <v>0</v>
      </c>
      <c r="D79" s="73">
        <v>0</v>
      </c>
      <c r="E79" s="404"/>
      <c r="F79" s="405"/>
      <c r="G79" s="56">
        <f>((U18-S18)/(150-95)*('темп граф'!$C$6-95)+'норм втрати'!S18+('норм втрати'!V18-'норм втрати'!T18)/(150-95)*('темп граф'!$C$6-95)+'норм втрати'!T18)/1.163</f>
        <v>112.32705385757835</v>
      </c>
      <c r="H79" s="56">
        <f>G79*0.7</f>
        <v>78.628937700304846</v>
      </c>
      <c r="I79" s="412"/>
      <c r="J79" s="413"/>
      <c r="K79" s="303">
        <f t="shared" si="4"/>
        <v>0</v>
      </c>
      <c r="L79" s="303">
        <f t="shared" si="4"/>
        <v>0</v>
      </c>
      <c r="M79" s="417"/>
      <c r="N79" s="418"/>
      <c r="O79" s="304">
        <f t="shared" si="5"/>
        <v>0</v>
      </c>
      <c r="P79" s="409"/>
      <c r="Q79" s="37"/>
    </row>
    <row r="80" spans="1:28" s="52" customFormat="1" hidden="1" outlineLevel="1" x14ac:dyDescent="0.25">
      <c r="A80" s="53">
        <v>300</v>
      </c>
      <c r="B80" s="53">
        <v>325</v>
      </c>
      <c r="C80" s="73">
        <v>0</v>
      </c>
      <c r="D80" s="73">
        <v>0</v>
      </c>
      <c r="E80" s="404"/>
      <c r="F80" s="405"/>
      <c r="G80" s="56">
        <f>((U19-S19)/(150-95)*('темп граф'!$C$6-95)+'норм втрати'!S19+('норм втрати'!V19-'норм втрати'!T19)/(150-95)*('темп граф'!$C$6-95)+'норм втрати'!T19)/1.163</f>
        <v>122.25435785195029</v>
      </c>
      <c r="H80" s="56">
        <f>G80*0.7</f>
        <v>85.578050496365194</v>
      </c>
      <c r="I80" s="412"/>
      <c r="J80" s="413"/>
      <c r="K80" s="303">
        <f t="shared" si="4"/>
        <v>0</v>
      </c>
      <c r="L80" s="303">
        <f t="shared" si="4"/>
        <v>0</v>
      </c>
      <c r="M80" s="417"/>
      <c r="N80" s="418"/>
      <c r="O80" s="304">
        <f t="shared" si="5"/>
        <v>0</v>
      </c>
      <c r="P80" s="409"/>
      <c r="Q80" s="37"/>
    </row>
    <row r="81" spans="1:28" s="52" customFormat="1" hidden="1" outlineLevel="1" x14ac:dyDescent="0.25">
      <c r="A81" s="53">
        <v>350</v>
      </c>
      <c r="B81" s="53">
        <v>377</v>
      </c>
      <c r="C81" s="73">
        <v>0</v>
      </c>
      <c r="D81" s="73">
        <v>0</v>
      </c>
      <c r="E81" s="404"/>
      <c r="F81" s="405"/>
      <c r="G81" s="56">
        <f>((U20-S20)/(150-95)*('темп граф'!$C$6-95)+'норм втрати'!S20+('норм втрати'!V20-'норм втрати'!T20)/(150-95)*('темп граф'!$C$6-95)+'норм втрати'!T20)/1.163</f>
        <v>133.27601031814274</v>
      </c>
      <c r="H81" s="56">
        <f t="shared" ref="H81:H87" si="6">G81*0.8</f>
        <v>106.6208082545142</v>
      </c>
      <c r="I81" s="412"/>
      <c r="J81" s="413"/>
      <c r="K81" s="303">
        <f t="shared" si="4"/>
        <v>0</v>
      </c>
      <c r="L81" s="303">
        <f t="shared" si="4"/>
        <v>0</v>
      </c>
      <c r="M81" s="417"/>
      <c r="N81" s="418"/>
      <c r="O81" s="304">
        <f t="shared" si="5"/>
        <v>0</v>
      </c>
      <c r="P81" s="409"/>
      <c r="Q81" s="37"/>
    </row>
    <row r="82" spans="1:28" s="52" customFormat="1" hidden="1" outlineLevel="1" x14ac:dyDescent="0.25">
      <c r="A82" s="53">
        <v>400</v>
      </c>
      <c r="B82" s="53">
        <v>426</v>
      </c>
      <c r="C82" s="73">
        <v>0</v>
      </c>
      <c r="D82" s="73">
        <v>0</v>
      </c>
      <c r="E82" s="404"/>
      <c r="F82" s="405"/>
      <c r="G82" s="56">
        <f>((U21-S21)/(150-95)*('темп граф'!$C$6-95)+'норм втрати'!S21+('норм втрати'!V21-'норм втрати'!T21)/(150-95)*('темп граф'!$C$6-95)+'норм втрати'!T21)/1.163</f>
        <v>140.62377862893771</v>
      </c>
      <c r="H82" s="56">
        <f t="shared" si="6"/>
        <v>112.49902290315018</v>
      </c>
      <c r="I82" s="412"/>
      <c r="J82" s="413"/>
      <c r="K82" s="303">
        <f t="shared" si="4"/>
        <v>0</v>
      </c>
      <c r="L82" s="303">
        <f t="shared" si="4"/>
        <v>0</v>
      </c>
      <c r="M82" s="417"/>
      <c r="N82" s="418"/>
      <c r="O82" s="304">
        <f t="shared" si="5"/>
        <v>0</v>
      </c>
      <c r="P82" s="409"/>
      <c r="Q82" s="37"/>
    </row>
    <row r="83" spans="1:28" s="52" customFormat="1" hidden="1" outlineLevel="1" x14ac:dyDescent="0.25">
      <c r="A83" s="53">
        <v>450</v>
      </c>
      <c r="B83" s="53">
        <v>478</v>
      </c>
      <c r="C83" s="73">
        <v>0</v>
      </c>
      <c r="D83" s="73">
        <v>0</v>
      </c>
      <c r="E83" s="404"/>
      <c r="F83" s="405"/>
      <c r="G83" s="56">
        <f>((U22-S22)/(150-95)*('темп граф'!$C$6-95)+'норм втрати'!S22+('норм втрати'!V22-'норм втрати'!T22)/(150-95)*('темп граф'!$C$6-95)+'норм втрати'!T22)/1.163</f>
        <v>149.53490189947627</v>
      </c>
      <c r="H83" s="56">
        <f t="shared" si="6"/>
        <v>119.62792151958102</v>
      </c>
      <c r="I83" s="412"/>
      <c r="J83" s="413"/>
      <c r="K83" s="303">
        <f t="shared" si="4"/>
        <v>0</v>
      </c>
      <c r="L83" s="303">
        <f t="shared" si="4"/>
        <v>0</v>
      </c>
      <c r="M83" s="417"/>
      <c r="N83" s="418"/>
      <c r="O83" s="304">
        <f t="shared" si="5"/>
        <v>0</v>
      </c>
      <c r="P83" s="409"/>
      <c r="Q83" s="37"/>
    </row>
    <row r="84" spans="1:28" s="52" customFormat="1" hidden="1" outlineLevel="1" x14ac:dyDescent="0.25">
      <c r="A84" s="53">
        <v>500</v>
      </c>
      <c r="B84" s="53">
        <v>529</v>
      </c>
      <c r="C84" s="73">
        <v>0</v>
      </c>
      <c r="D84" s="73">
        <v>0</v>
      </c>
      <c r="E84" s="404"/>
      <c r="F84" s="405"/>
      <c r="G84" s="56">
        <f>((U23-S23)/(150-95)*('темп граф'!$C$6-95)+'норм втрати'!S23+('норм втрати'!V23-'норм втрати'!T23)/(150-95)*('темп граф'!$C$6-95)+'норм втрати'!T23)/1.163</f>
        <v>161.57273508950206</v>
      </c>
      <c r="H84" s="56">
        <f t="shared" si="6"/>
        <v>129.25818807160167</v>
      </c>
      <c r="I84" s="412"/>
      <c r="J84" s="413"/>
      <c r="K84" s="303">
        <f t="shared" si="4"/>
        <v>0</v>
      </c>
      <c r="L84" s="303">
        <f t="shared" si="4"/>
        <v>0</v>
      </c>
      <c r="M84" s="417"/>
      <c r="N84" s="418"/>
      <c r="O84" s="304">
        <f t="shared" si="5"/>
        <v>0</v>
      </c>
      <c r="P84" s="409"/>
      <c r="Q84" s="37"/>
    </row>
    <row r="85" spans="1:28" s="52" customFormat="1" hidden="1" outlineLevel="1" x14ac:dyDescent="0.25">
      <c r="A85" s="53">
        <v>600</v>
      </c>
      <c r="B85" s="53">
        <v>630</v>
      </c>
      <c r="C85" s="73">
        <v>0</v>
      </c>
      <c r="D85" s="73">
        <v>0</v>
      </c>
      <c r="E85" s="404"/>
      <c r="F85" s="405"/>
      <c r="G85" s="56">
        <f>((U24-S24)/(150-95)*('темп граф'!$C$6-95)+'норм втрати'!S24+('норм втрати'!V24-'норм втрати'!T24)/(150-95)*('темп граф'!$C$6-95)+'норм втрати'!T24)/1.163</f>
        <v>180.41116235441257</v>
      </c>
      <c r="H85" s="56">
        <f t="shared" si="6"/>
        <v>144.32892988353007</v>
      </c>
      <c r="I85" s="412"/>
      <c r="J85" s="413"/>
      <c r="K85" s="303">
        <f t="shared" si="4"/>
        <v>0</v>
      </c>
      <c r="L85" s="303">
        <f t="shared" si="4"/>
        <v>0</v>
      </c>
      <c r="M85" s="417"/>
      <c r="N85" s="418"/>
      <c r="O85" s="304">
        <f t="shared" si="5"/>
        <v>0</v>
      </c>
      <c r="P85" s="409"/>
      <c r="Q85" s="37"/>
    </row>
    <row r="86" spans="1:28" s="52" customFormat="1" hidden="1" outlineLevel="1" x14ac:dyDescent="0.25">
      <c r="A86" s="53">
        <v>700</v>
      </c>
      <c r="B86" s="53">
        <v>720</v>
      </c>
      <c r="C86" s="73">
        <v>0</v>
      </c>
      <c r="D86" s="73">
        <v>0</v>
      </c>
      <c r="E86" s="404"/>
      <c r="F86" s="405"/>
      <c r="G86" s="56">
        <f>((U25-S25)/(150-95)*('темп граф'!$C$6-95)+'норм втрати'!S25+('норм втрати'!V25-'норм втрати'!T25)/(150-95)*('темп граф'!$C$6-95)+'норм втрати'!T25)/1.163</f>
        <v>194.09051825216915</v>
      </c>
      <c r="H86" s="56">
        <f t="shared" si="6"/>
        <v>155.27241460173533</v>
      </c>
      <c r="I86" s="412"/>
      <c r="J86" s="413"/>
      <c r="K86" s="303">
        <f t="shared" si="4"/>
        <v>0</v>
      </c>
      <c r="L86" s="303">
        <f t="shared" si="4"/>
        <v>0</v>
      </c>
      <c r="M86" s="417"/>
      <c r="N86" s="418"/>
      <c r="O86" s="304">
        <f t="shared" si="5"/>
        <v>0</v>
      </c>
      <c r="P86" s="409"/>
      <c r="Q86" s="37"/>
    </row>
    <row r="87" spans="1:28" s="52" customFormat="1" hidden="1" outlineLevel="1" x14ac:dyDescent="0.25">
      <c r="A87" s="53">
        <v>800</v>
      </c>
      <c r="B87" s="53">
        <v>820</v>
      </c>
      <c r="C87" s="73">
        <v>0</v>
      </c>
      <c r="D87" s="73">
        <v>0</v>
      </c>
      <c r="E87" s="404"/>
      <c r="F87" s="405"/>
      <c r="G87" s="56">
        <f>((U26-S26)/(150-95)*('темп граф'!$C$6-95)+'норм втрати'!S26+('норм втрати'!V26-'норм втрати'!T26)/(150-95)*('темп граф'!$C$6-95)+'норм втрати'!T26)/1.163</f>
        <v>213.86695849292582</v>
      </c>
      <c r="H87" s="56">
        <f t="shared" si="6"/>
        <v>171.09356679434066</v>
      </c>
      <c r="I87" s="412"/>
      <c r="J87" s="413"/>
      <c r="K87" s="303">
        <f t="shared" si="4"/>
        <v>0</v>
      </c>
      <c r="L87" s="303">
        <f t="shared" si="4"/>
        <v>0</v>
      </c>
      <c r="M87" s="417"/>
      <c r="N87" s="418"/>
      <c r="O87" s="304">
        <f t="shared" si="5"/>
        <v>0</v>
      </c>
      <c r="P87" s="409"/>
      <c r="Q87" s="37"/>
    </row>
    <row r="88" spans="1:28" s="30" customFormat="1" ht="45.75" hidden="1" customHeight="1" x14ac:dyDescent="0.25">
      <c r="A88" s="400" t="s">
        <v>47</v>
      </c>
      <c r="B88" s="401"/>
      <c r="C88" s="28">
        <f>SUM(C70:C87)</f>
        <v>0</v>
      </c>
      <c r="D88" s="28">
        <f>SUM(D70:D87)</f>
        <v>0</v>
      </c>
      <c r="E88" s="406"/>
      <c r="F88" s="407"/>
      <c r="G88" s="15">
        <f>IF(C88=0,0,SUMPRODUCT(C70:C87,G70:G87)/C88)</f>
        <v>0</v>
      </c>
      <c r="H88" s="15">
        <f>IF(D88=0,0,SUMPRODUCT(D70:D87,H70:H87)/D88)</f>
        <v>0</v>
      </c>
      <c r="I88" s="414"/>
      <c r="J88" s="415"/>
      <c r="K88" s="305">
        <f>SUM(K70:K87)</f>
        <v>0</v>
      </c>
      <c r="L88" s="305">
        <f>SUM(L70:L87)</f>
        <v>0</v>
      </c>
      <c r="M88" s="419"/>
      <c r="N88" s="420"/>
      <c r="O88" s="306">
        <f>SUM(O70:O87)</f>
        <v>0</v>
      </c>
      <c r="P88" s="410"/>
      <c r="Q88" s="29"/>
    </row>
    <row r="89" spans="1:28" s="54" customFormat="1" ht="33" hidden="1" customHeight="1" x14ac:dyDescent="0.25">
      <c r="A89" s="429" t="s">
        <v>65</v>
      </c>
      <c r="B89" s="430"/>
      <c r="C89" s="430"/>
      <c r="D89" s="430"/>
      <c r="E89" s="430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1"/>
      <c r="Q89" s="74"/>
    </row>
    <row r="90" spans="1:28" s="24" customFormat="1" ht="93" hidden="1" customHeight="1" x14ac:dyDescent="0.25">
      <c r="A90" s="24" t="s">
        <v>26</v>
      </c>
      <c r="B90" s="24" t="s">
        <v>27</v>
      </c>
      <c r="C90" s="24" t="s">
        <v>28</v>
      </c>
      <c r="D90" s="24" t="s">
        <v>29</v>
      </c>
      <c r="E90" s="421"/>
      <c r="F90" s="422"/>
      <c r="G90" s="24" t="s">
        <v>30</v>
      </c>
      <c r="H90" s="24" t="s">
        <v>31</v>
      </c>
      <c r="I90" s="423"/>
      <c r="J90" s="424"/>
      <c r="K90" s="307" t="s">
        <v>34</v>
      </c>
      <c r="L90" s="307" t="s">
        <v>35</v>
      </c>
      <c r="M90" s="425"/>
      <c r="N90" s="426"/>
      <c r="O90" s="308" t="s">
        <v>38</v>
      </c>
      <c r="P90" s="432"/>
      <c r="Q90" s="21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3"/>
    </row>
    <row r="91" spans="1:28" s="22" customFormat="1" ht="14.25" hidden="1" x14ac:dyDescent="0.25">
      <c r="A91" s="25" t="s">
        <v>40</v>
      </c>
      <c r="B91" s="25" t="s">
        <v>40</v>
      </c>
      <c r="C91" s="25" t="s">
        <v>41</v>
      </c>
      <c r="D91" s="25" t="s">
        <v>41</v>
      </c>
      <c r="E91" s="404"/>
      <c r="F91" s="405"/>
      <c r="G91" s="25" t="s">
        <v>42</v>
      </c>
      <c r="H91" s="25" t="s">
        <v>42</v>
      </c>
      <c r="I91" s="412"/>
      <c r="J91" s="413"/>
      <c r="K91" s="301" t="s">
        <v>15</v>
      </c>
      <c r="L91" s="301" t="s">
        <v>15</v>
      </c>
      <c r="M91" s="417"/>
      <c r="N91" s="418"/>
      <c r="O91" s="302" t="s">
        <v>43</v>
      </c>
      <c r="P91" s="409"/>
      <c r="Q91" s="27"/>
    </row>
    <row r="92" spans="1:28" s="52" customFormat="1" hidden="1" outlineLevel="1" x14ac:dyDescent="0.25">
      <c r="A92" s="53">
        <v>25</v>
      </c>
      <c r="B92" s="53">
        <v>32</v>
      </c>
      <c r="C92" s="73">
        <v>0</v>
      </c>
      <c r="D92" s="73">
        <v>0</v>
      </c>
      <c r="E92" s="404"/>
      <c r="F92" s="405"/>
      <c r="G92" s="56">
        <f>(IF($I$32-$I$37&gt;$X$8-$I$40,X9+(Y9-X9)*($I$32-$I$37-$X$8+$I$40)/($Y$8-$X$8+$I$40),W9+(X9-W9)*($I$32-$I$37-$W$8+$I$40)/($X$8-$W$8)))/1.163</f>
        <v>14.737470456614513</v>
      </c>
      <c r="H92" s="56">
        <f>G92*0.5</f>
        <v>7.3687352283072567</v>
      </c>
      <c r="I92" s="412"/>
      <c r="J92" s="413"/>
      <c r="K92" s="303">
        <f t="shared" ref="K92:L98" si="7">C92*G92*$I$39*1.2/1000000*24*$P$36</f>
        <v>0</v>
      </c>
      <c r="L92" s="303">
        <f t="shared" si="7"/>
        <v>0</v>
      </c>
      <c r="M92" s="417"/>
      <c r="N92" s="418"/>
      <c r="O92" s="304">
        <f>(C92+D92)*A92*A92/1000000/4*(3.1416*24*0.0025)</f>
        <v>0</v>
      </c>
      <c r="P92" s="409"/>
      <c r="Q92" s="37"/>
    </row>
    <row r="93" spans="1:28" s="52" customFormat="1" hidden="1" outlineLevel="1" x14ac:dyDescent="0.25">
      <c r="A93" s="53">
        <v>40</v>
      </c>
      <c r="B93" s="53">
        <v>45</v>
      </c>
      <c r="C93" s="73">
        <v>0</v>
      </c>
      <c r="D93" s="73">
        <v>0</v>
      </c>
      <c r="E93" s="404"/>
      <c r="F93" s="405"/>
      <c r="G93" s="56">
        <f t="shared" ref="G93:G111" si="8">(IF($I$32-$I$37&gt;$X$8-$I$40,X10+(Y10-X10)*($I$32-$I$37-$X$8+$I$40)/($Y$8-$X$8+$I$40),W10+(X10-W10)*($I$32-$I$37-$W$8+$I$40)/($X$8-$W$8)))/1.163</f>
        <v>17.050407994740432</v>
      </c>
      <c r="H93" s="56">
        <f>G93*0.5</f>
        <v>8.5252039973702161</v>
      </c>
      <c r="I93" s="412"/>
      <c r="J93" s="413"/>
      <c r="K93" s="303">
        <f t="shared" si="7"/>
        <v>0</v>
      </c>
      <c r="L93" s="303">
        <f t="shared" si="7"/>
        <v>0</v>
      </c>
      <c r="M93" s="417"/>
      <c r="N93" s="418"/>
      <c r="O93" s="304">
        <f t="shared" ref="O93:O110" si="9">(C93+D93)*A93*A93/1000000/4*(3.1416*24*0.0025)</f>
        <v>0</v>
      </c>
      <c r="P93" s="409"/>
      <c r="Q93" s="37"/>
    </row>
    <row r="94" spans="1:28" s="52" customFormat="1" hidden="1" outlineLevel="1" x14ac:dyDescent="0.25">
      <c r="A94" s="53">
        <v>50</v>
      </c>
      <c r="B94" s="53">
        <v>57</v>
      </c>
      <c r="C94" s="73">
        <v>0</v>
      </c>
      <c r="D94" s="73">
        <v>0</v>
      </c>
      <c r="E94" s="404"/>
      <c r="F94" s="405"/>
      <c r="G94" s="56">
        <f t="shared" si="8"/>
        <v>18.770098450458402</v>
      </c>
      <c r="H94" s="56">
        <f>G94*0.5</f>
        <v>9.385049225229201</v>
      </c>
      <c r="I94" s="412"/>
      <c r="J94" s="413"/>
      <c r="K94" s="303">
        <f t="shared" si="7"/>
        <v>0</v>
      </c>
      <c r="L94" s="303">
        <f t="shared" si="7"/>
        <v>0</v>
      </c>
      <c r="M94" s="417"/>
      <c r="N94" s="418"/>
      <c r="O94" s="304">
        <f t="shared" si="9"/>
        <v>0</v>
      </c>
      <c r="P94" s="409"/>
      <c r="Q94" s="37"/>
    </row>
    <row r="95" spans="1:28" s="52" customFormat="1" hidden="1" outlineLevel="1" x14ac:dyDescent="0.25">
      <c r="A95" s="53">
        <v>65</v>
      </c>
      <c r="B95" s="53">
        <v>76</v>
      </c>
      <c r="C95" s="73">
        <v>0</v>
      </c>
      <c r="D95" s="73">
        <v>0</v>
      </c>
      <c r="E95" s="404"/>
      <c r="F95" s="405"/>
      <c r="G95" s="56">
        <f t="shared" si="8"/>
        <v>21.379659529788299</v>
      </c>
      <c r="H95" s="56">
        <f>G95*0.5</f>
        <v>10.689829764894149</v>
      </c>
      <c r="I95" s="412"/>
      <c r="J95" s="413"/>
      <c r="K95" s="303">
        <f t="shared" si="7"/>
        <v>0</v>
      </c>
      <c r="L95" s="303">
        <f t="shared" si="7"/>
        <v>0</v>
      </c>
      <c r="M95" s="417"/>
      <c r="N95" s="418"/>
      <c r="O95" s="304">
        <f t="shared" si="9"/>
        <v>0</v>
      </c>
      <c r="P95" s="409"/>
      <c r="Q95" s="37"/>
    </row>
    <row r="96" spans="1:28" s="52" customFormat="1" hidden="1" outlineLevel="1" x14ac:dyDescent="0.25">
      <c r="A96" s="53">
        <v>80</v>
      </c>
      <c r="B96" s="53">
        <v>89</v>
      </c>
      <c r="C96" s="73">
        <v>0</v>
      </c>
      <c r="D96" s="73">
        <v>0</v>
      </c>
      <c r="E96" s="404"/>
      <c r="F96" s="405"/>
      <c r="G96" s="56">
        <f t="shared" si="8"/>
        <v>23.395973526710247</v>
      </c>
      <c r="H96" s="56">
        <f>G96*0.6</f>
        <v>14.037584116026148</v>
      </c>
      <c r="I96" s="412"/>
      <c r="J96" s="413"/>
      <c r="K96" s="303">
        <f t="shared" si="7"/>
        <v>0</v>
      </c>
      <c r="L96" s="303">
        <f t="shared" si="7"/>
        <v>0</v>
      </c>
      <c r="M96" s="417"/>
      <c r="N96" s="418"/>
      <c r="O96" s="304">
        <f t="shared" si="9"/>
        <v>0</v>
      </c>
      <c r="P96" s="409"/>
      <c r="Q96" s="37"/>
    </row>
    <row r="97" spans="1:17" s="52" customFormat="1" hidden="1" outlineLevel="1" x14ac:dyDescent="0.25">
      <c r="A97" s="53">
        <v>100</v>
      </c>
      <c r="B97" s="53">
        <v>108</v>
      </c>
      <c r="C97" s="73">
        <v>0</v>
      </c>
      <c r="D97" s="73">
        <v>0</v>
      </c>
      <c r="E97" s="404"/>
      <c r="F97" s="405"/>
      <c r="G97" s="56">
        <f t="shared" si="8"/>
        <v>26.272132751491178</v>
      </c>
      <c r="H97" s="56">
        <f>G97*0.6</f>
        <v>15.763279650894706</v>
      </c>
      <c r="I97" s="412"/>
      <c r="J97" s="413"/>
      <c r="K97" s="303">
        <f t="shared" si="7"/>
        <v>0</v>
      </c>
      <c r="L97" s="303">
        <f t="shared" si="7"/>
        <v>0</v>
      </c>
      <c r="M97" s="417"/>
      <c r="N97" s="418"/>
      <c r="O97" s="304">
        <f t="shared" si="9"/>
        <v>0</v>
      </c>
      <c r="P97" s="409"/>
      <c r="Q97" s="37"/>
    </row>
    <row r="98" spans="1:17" s="52" customFormat="1" hidden="1" outlineLevel="1" x14ac:dyDescent="0.25">
      <c r="A98" s="53">
        <v>125</v>
      </c>
      <c r="B98" s="53">
        <v>133</v>
      </c>
      <c r="C98" s="73">
        <v>0</v>
      </c>
      <c r="D98" s="73">
        <v>0</v>
      </c>
      <c r="E98" s="404"/>
      <c r="F98" s="405"/>
      <c r="G98" s="56">
        <f t="shared" si="8"/>
        <v>29.741539058680058</v>
      </c>
      <c r="H98" s="56">
        <f>G98*0.6</f>
        <v>17.844923435208035</v>
      </c>
      <c r="I98" s="412"/>
      <c r="J98" s="413"/>
      <c r="K98" s="303">
        <f t="shared" si="7"/>
        <v>0</v>
      </c>
      <c r="L98" s="303">
        <f t="shared" si="7"/>
        <v>0</v>
      </c>
      <c r="M98" s="417"/>
      <c r="N98" s="418"/>
      <c r="O98" s="304">
        <f t="shared" si="9"/>
        <v>0</v>
      </c>
      <c r="P98" s="409"/>
      <c r="Q98" s="37"/>
    </row>
    <row r="99" spans="1:17" s="52" customFormat="1" hidden="1" outlineLevel="1" x14ac:dyDescent="0.25">
      <c r="A99" s="53">
        <v>150</v>
      </c>
      <c r="B99" s="53">
        <v>159</v>
      </c>
      <c r="C99" s="73">
        <v>0</v>
      </c>
      <c r="D99" s="73">
        <v>0</v>
      </c>
      <c r="E99" s="404"/>
      <c r="F99" s="405"/>
      <c r="G99" s="56">
        <f t="shared" si="8"/>
        <v>32.914321824664967</v>
      </c>
      <c r="H99" s="56">
        <f>G99*0.6</f>
        <v>19.748593094798981</v>
      </c>
      <c r="I99" s="412"/>
      <c r="J99" s="413"/>
      <c r="K99" s="303">
        <f>C99*G99*$I$39*1.15/1000000*24*$P$36</f>
        <v>0</v>
      </c>
      <c r="L99" s="303">
        <f>D99*H99*$I$39*1.15/1000000*24*$P$36</f>
        <v>0</v>
      </c>
      <c r="M99" s="417"/>
      <c r="N99" s="418"/>
      <c r="O99" s="304">
        <f t="shared" si="9"/>
        <v>0</v>
      </c>
      <c r="P99" s="409"/>
      <c r="Q99" s="37"/>
    </row>
    <row r="100" spans="1:17" s="52" customFormat="1" hidden="1" outlineLevel="1" x14ac:dyDescent="0.25">
      <c r="A100" s="53">
        <v>200</v>
      </c>
      <c r="B100" s="53">
        <v>219</v>
      </c>
      <c r="C100" s="73">
        <v>0</v>
      </c>
      <c r="D100" s="73">
        <v>0</v>
      </c>
      <c r="E100" s="404"/>
      <c r="F100" s="405"/>
      <c r="G100" s="56">
        <f t="shared" si="8"/>
        <v>40.119732584493761</v>
      </c>
      <c r="H100" s="56">
        <f>G100*0.7</f>
        <v>28.08381280914563</v>
      </c>
      <c r="I100" s="412"/>
      <c r="J100" s="413"/>
      <c r="K100" s="303">
        <f t="shared" ref="K100:L111" si="10">C100*G100*$I$39*1.15/1000000*24*$P$36</f>
        <v>0</v>
      </c>
      <c r="L100" s="303">
        <f t="shared" si="10"/>
        <v>0</v>
      </c>
      <c r="M100" s="417"/>
      <c r="N100" s="418"/>
      <c r="O100" s="304">
        <f t="shared" si="9"/>
        <v>0</v>
      </c>
      <c r="P100" s="409"/>
      <c r="Q100" s="37"/>
    </row>
    <row r="101" spans="1:17" s="52" customFormat="1" hidden="1" outlineLevel="1" x14ac:dyDescent="0.25">
      <c r="A101" s="53">
        <v>250</v>
      </c>
      <c r="B101" s="53">
        <v>273</v>
      </c>
      <c r="C101" s="73">
        <v>0</v>
      </c>
      <c r="D101" s="73">
        <v>0</v>
      </c>
      <c r="E101" s="404"/>
      <c r="F101" s="405"/>
      <c r="G101" s="56">
        <f t="shared" si="8"/>
        <v>46.465298116463579</v>
      </c>
      <c r="H101" s="56">
        <f>G101*0.7</f>
        <v>32.525708681524506</v>
      </c>
      <c r="I101" s="412"/>
      <c r="J101" s="413"/>
      <c r="K101" s="303">
        <f t="shared" si="10"/>
        <v>0</v>
      </c>
      <c r="L101" s="303">
        <f t="shared" si="10"/>
        <v>0</v>
      </c>
      <c r="M101" s="417"/>
      <c r="N101" s="418"/>
      <c r="O101" s="304">
        <f t="shared" si="9"/>
        <v>0</v>
      </c>
      <c r="P101" s="409"/>
      <c r="Q101" s="37"/>
    </row>
    <row r="102" spans="1:17" s="52" customFormat="1" hidden="1" outlineLevel="1" x14ac:dyDescent="0.25">
      <c r="A102" s="53">
        <v>300</v>
      </c>
      <c r="B102" s="53">
        <v>325</v>
      </c>
      <c r="C102" s="73">
        <v>0</v>
      </c>
      <c r="D102" s="73">
        <v>0</v>
      </c>
      <c r="E102" s="404"/>
      <c r="F102" s="405"/>
      <c r="G102" s="56">
        <f t="shared" si="8"/>
        <v>52.514240107229419</v>
      </c>
      <c r="H102" s="56">
        <f>G102*0.7</f>
        <v>36.759968075060591</v>
      </c>
      <c r="I102" s="412"/>
      <c r="J102" s="413"/>
      <c r="K102" s="303">
        <f t="shared" si="10"/>
        <v>0</v>
      </c>
      <c r="L102" s="303">
        <f t="shared" si="10"/>
        <v>0</v>
      </c>
      <c r="M102" s="417"/>
      <c r="N102" s="418"/>
      <c r="O102" s="304">
        <f t="shared" si="9"/>
        <v>0</v>
      </c>
      <c r="P102" s="409"/>
      <c r="Q102" s="37"/>
    </row>
    <row r="103" spans="1:17" s="52" customFormat="1" hidden="1" outlineLevel="1" x14ac:dyDescent="0.25">
      <c r="A103" s="53">
        <v>350</v>
      </c>
      <c r="B103" s="53">
        <v>377</v>
      </c>
      <c r="C103" s="73">
        <v>0</v>
      </c>
      <c r="D103" s="73">
        <v>0</v>
      </c>
      <c r="E103" s="404"/>
      <c r="F103" s="405"/>
      <c r="G103" s="56">
        <f t="shared" si="8"/>
        <v>58.563182097995252</v>
      </c>
      <c r="H103" s="56">
        <f t="shared" ref="H103:H111" si="11">G103*0.8</f>
        <v>46.850545678396202</v>
      </c>
      <c r="I103" s="412"/>
      <c r="J103" s="413"/>
      <c r="K103" s="303">
        <f t="shared" si="10"/>
        <v>0</v>
      </c>
      <c r="L103" s="303">
        <f t="shared" si="10"/>
        <v>0</v>
      </c>
      <c r="M103" s="417"/>
      <c r="N103" s="418"/>
      <c r="O103" s="304">
        <f t="shared" si="9"/>
        <v>0</v>
      </c>
      <c r="P103" s="409"/>
      <c r="Q103" s="37"/>
    </row>
    <row r="104" spans="1:17" s="52" customFormat="1" hidden="1" outlineLevel="1" x14ac:dyDescent="0.25">
      <c r="A104" s="53">
        <v>400</v>
      </c>
      <c r="B104" s="53">
        <v>426</v>
      </c>
      <c r="C104" s="73">
        <v>0</v>
      </c>
      <c r="D104" s="73">
        <v>0</v>
      </c>
      <c r="E104" s="404"/>
      <c r="F104" s="405"/>
      <c r="G104" s="56">
        <f t="shared" si="8"/>
        <v>64.612124088761092</v>
      </c>
      <c r="H104" s="56">
        <f t="shared" si="11"/>
        <v>51.689699271008877</v>
      </c>
      <c r="I104" s="412"/>
      <c r="J104" s="413"/>
      <c r="K104" s="303">
        <f t="shared" si="10"/>
        <v>0</v>
      </c>
      <c r="L104" s="303">
        <f t="shared" si="10"/>
        <v>0</v>
      </c>
      <c r="M104" s="417"/>
      <c r="N104" s="418"/>
      <c r="O104" s="304">
        <f t="shared" si="9"/>
        <v>0</v>
      </c>
      <c r="P104" s="409"/>
      <c r="Q104" s="37"/>
    </row>
    <row r="105" spans="1:17" s="52" customFormat="1" hidden="1" outlineLevel="1" x14ac:dyDescent="0.25">
      <c r="A105" s="53">
        <v>450</v>
      </c>
      <c r="B105" s="53">
        <v>478</v>
      </c>
      <c r="C105" s="73">
        <v>0</v>
      </c>
      <c r="D105" s="73">
        <v>0</v>
      </c>
      <c r="E105" s="404"/>
      <c r="F105" s="405"/>
      <c r="G105" s="56">
        <f t="shared" si="8"/>
        <v>68.941375623808952</v>
      </c>
      <c r="H105" s="56">
        <f t="shared" si="11"/>
        <v>55.153100499047163</v>
      </c>
      <c r="I105" s="412"/>
      <c r="J105" s="413"/>
      <c r="K105" s="303">
        <f t="shared" si="10"/>
        <v>0</v>
      </c>
      <c r="L105" s="303">
        <f t="shared" si="10"/>
        <v>0</v>
      </c>
      <c r="M105" s="417"/>
      <c r="N105" s="418"/>
      <c r="O105" s="304">
        <f t="shared" si="9"/>
        <v>0</v>
      </c>
      <c r="P105" s="409"/>
      <c r="Q105" s="37"/>
    </row>
    <row r="106" spans="1:17" s="52" customFormat="1" hidden="1" outlineLevel="1" x14ac:dyDescent="0.25">
      <c r="A106" s="53">
        <v>500</v>
      </c>
      <c r="B106" s="53">
        <v>529</v>
      </c>
      <c r="C106" s="73">
        <v>0</v>
      </c>
      <c r="D106" s="73">
        <v>0</v>
      </c>
      <c r="E106" s="404"/>
      <c r="F106" s="405"/>
      <c r="G106" s="56">
        <f t="shared" si="8"/>
        <v>75.286941155778777</v>
      </c>
      <c r="H106" s="56">
        <f t="shared" si="11"/>
        <v>60.229552924623022</v>
      </c>
      <c r="I106" s="412"/>
      <c r="J106" s="413"/>
      <c r="K106" s="303">
        <f t="shared" si="10"/>
        <v>0</v>
      </c>
      <c r="L106" s="303">
        <f t="shared" si="10"/>
        <v>0</v>
      </c>
      <c r="M106" s="417"/>
      <c r="N106" s="418"/>
      <c r="O106" s="304">
        <f t="shared" si="9"/>
        <v>0</v>
      </c>
      <c r="P106" s="409"/>
      <c r="Q106" s="37"/>
    </row>
    <row r="107" spans="1:17" s="52" customFormat="1" hidden="1" outlineLevel="1" x14ac:dyDescent="0.25">
      <c r="A107" s="53">
        <v>600</v>
      </c>
      <c r="B107" s="53">
        <v>630</v>
      </c>
      <c r="C107" s="73">
        <v>0</v>
      </c>
      <c r="D107" s="73">
        <v>0</v>
      </c>
      <c r="E107" s="404"/>
      <c r="F107" s="405"/>
      <c r="G107" s="56">
        <f t="shared" si="8"/>
        <v>84.745238662227621</v>
      </c>
      <c r="H107" s="56">
        <f t="shared" si="11"/>
        <v>67.796190929782099</v>
      </c>
      <c r="I107" s="412"/>
      <c r="J107" s="413"/>
      <c r="K107" s="303">
        <f t="shared" si="10"/>
        <v>0</v>
      </c>
      <c r="L107" s="303">
        <f t="shared" si="10"/>
        <v>0</v>
      </c>
      <c r="M107" s="417"/>
      <c r="N107" s="418"/>
      <c r="O107" s="304">
        <f t="shared" si="9"/>
        <v>0</v>
      </c>
      <c r="P107" s="409"/>
      <c r="Q107" s="37"/>
    </row>
    <row r="108" spans="1:17" s="52" customFormat="1" hidden="1" outlineLevel="1" x14ac:dyDescent="0.25">
      <c r="A108" s="53">
        <v>700</v>
      </c>
      <c r="B108" s="53">
        <v>720</v>
      </c>
      <c r="C108" s="73">
        <v>0</v>
      </c>
      <c r="D108" s="73">
        <v>0</v>
      </c>
      <c r="E108" s="404"/>
      <c r="F108" s="405"/>
      <c r="G108" s="56">
        <f t="shared" si="8"/>
        <v>96.606549894061203</v>
      </c>
      <c r="H108" s="56">
        <f t="shared" si="11"/>
        <v>77.285239915248965</v>
      </c>
      <c r="I108" s="412"/>
      <c r="J108" s="413"/>
      <c r="K108" s="303">
        <f t="shared" si="10"/>
        <v>0</v>
      </c>
      <c r="L108" s="303">
        <f t="shared" si="10"/>
        <v>0</v>
      </c>
      <c r="M108" s="417"/>
      <c r="N108" s="418"/>
      <c r="O108" s="304">
        <f t="shared" si="9"/>
        <v>0</v>
      </c>
      <c r="P108" s="409"/>
      <c r="Q108" s="37"/>
    </row>
    <row r="109" spans="1:17" s="52" customFormat="1" hidden="1" outlineLevel="1" x14ac:dyDescent="0.25">
      <c r="A109" s="53">
        <v>800</v>
      </c>
      <c r="B109" s="53">
        <v>820</v>
      </c>
      <c r="C109" s="73">
        <v>0</v>
      </c>
      <c r="D109" s="73">
        <v>0</v>
      </c>
      <c r="E109" s="404"/>
      <c r="F109" s="405"/>
      <c r="G109" s="56">
        <f t="shared" si="8"/>
        <v>107.54796510652992</v>
      </c>
      <c r="H109" s="56">
        <f t="shared" si="11"/>
        <v>86.038372085223941</v>
      </c>
      <c r="I109" s="412"/>
      <c r="J109" s="413"/>
      <c r="K109" s="303">
        <f t="shared" si="10"/>
        <v>0</v>
      </c>
      <c r="L109" s="303">
        <f t="shared" si="10"/>
        <v>0</v>
      </c>
      <c r="M109" s="417"/>
      <c r="N109" s="418"/>
      <c r="O109" s="304">
        <f t="shared" si="9"/>
        <v>0</v>
      </c>
      <c r="P109" s="409"/>
      <c r="Q109" s="37"/>
    </row>
    <row r="110" spans="1:17" s="52" customFormat="1" hidden="1" outlineLevel="1" x14ac:dyDescent="0.25">
      <c r="A110" s="53">
        <v>900</v>
      </c>
      <c r="B110" s="53">
        <v>920</v>
      </c>
      <c r="C110" s="73">
        <v>0</v>
      </c>
      <c r="D110" s="73">
        <v>0</v>
      </c>
      <c r="E110" s="404"/>
      <c r="F110" s="405"/>
      <c r="G110" s="56">
        <f t="shared" si="8"/>
        <v>118.2227821735476</v>
      </c>
      <c r="H110" s="56">
        <f t="shared" si="11"/>
        <v>94.578225738838086</v>
      </c>
      <c r="I110" s="412"/>
      <c r="J110" s="413"/>
      <c r="K110" s="303">
        <f t="shared" si="10"/>
        <v>0</v>
      </c>
      <c r="L110" s="303">
        <f t="shared" si="10"/>
        <v>0</v>
      </c>
      <c r="M110" s="417"/>
      <c r="N110" s="418"/>
      <c r="O110" s="304">
        <f t="shared" si="9"/>
        <v>0</v>
      </c>
      <c r="P110" s="409"/>
      <c r="Q110" s="37"/>
    </row>
    <row r="111" spans="1:17" s="52" customFormat="1" hidden="1" outlineLevel="1" x14ac:dyDescent="0.25">
      <c r="A111" s="53">
        <v>1000</v>
      </c>
      <c r="B111" s="53">
        <v>1020</v>
      </c>
      <c r="C111" s="73">
        <v>0</v>
      </c>
      <c r="D111" s="73">
        <v>0</v>
      </c>
      <c r="E111" s="404"/>
      <c r="F111" s="405"/>
      <c r="G111" s="56">
        <f t="shared" si="8"/>
        <v>129.46082092722028</v>
      </c>
      <c r="H111" s="56">
        <f t="shared" si="11"/>
        <v>103.56865674177624</v>
      </c>
      <c r="I111" s="412"/>
      <c r="J111" s="413"/>
      <c r="K111" s="303">
        <f t="shared" si="10"/>
        <v>0</v>
      </c>
      <c r="L111" s="303">
        <f t="shared" si="10"/>
        <v>0</v>
      </c>
      <c r="M111" s="417"/>
      <c r="N111" s="418"/>
      <c r="O111" s="304">
        <f>(C111+D111)*A111*A111/1000000/4*(3.1416*24*0.0025)</f>
        <v>0</v>
      </c>
      <c r="P111" s="409"/>
      <c r="Q111" s="37"/>
    </row>
    <row r="112" spans="1:17" s="30" customFormat="1" ht="41.25" hidden="1" customHeight="1" x14ac:dyDescent="0.25">
      <c r="A112" s="400" t="s">
        <v>48</v>
      </c>
      <c r="B112" s="401"/>
      <c r="C112" s="28">
        <f>SUM(C92:C111)</f>
        <v>0</v>
      </c>
      <c r="D112" s="28">
        <f>SUM(D92:D111)</f>
        <v>0</v>
      </c>
      <c r="E112" s="406"/>
      <c r="F112" s="407"/>
      <c r="G112" s="15">
        <f>IF(C112=0,0,SUMPRODUCT(C92:C111,G92:G111)/C112)</f>
        <v>0</v>
      </c>
      <c r="H112" s="15">
        <f>IF(D112=0,0,SUMPRODUCT(D92:D111,H92:H111)/D112)</f>
        <v>0</v>
      </c>
      <c r="I112" s="414"/>
      <c r="J112" s="415"/>
      <c r="K112" s="305">
        <f>SUM(K92:K111)</f>
        <v>0</v>
      </c>
      <c r="L112" s="305">
        <f>SUM(L92:L111)</f>
        <v>0</v>
      </c>
      <c r="M112" s="419"/>
      <c r="N112" s="420"/>
      <c r="O112" s="306">
        <f>SUM(O92:O111)</f>
        <v>0</v>
      </c>
      <c r="P112" s="410"/>
      <c r="Q112" s="29"/>
    </row>
    <row r="113" spans="1:28" s="54" customFormat="1" ht="35.25" hidden="1" customHeight="1" thickBot="1" x14ac:dyDescent="0.3">
      <c r="A113" s="428" t="s">
        <v>66</v>
      </c>
      <c r="B113" s="428"/>
      <c r="C113" s="428"/>
      <c r="D113" s="428"/>
      <c r="E113" s="428"/>
      <c r="F113" s="428"/>
      <c r="G113" s="428"/>
      <c r="H113" s="428"/>
      <c r="I113" s="428"/>
      <c r="J113" s="428"/>
      <c r="K113" s="428"/>
      <c r="L113" s="428"/>
      <c r="M113" s="428"/>
      <c r="N113" s="428"/>
      <c r="O113" s="428"/>
      <c r="P113" s="402"/>
      <c r="Q113" s="74"/>
    </row>
    <row r="114" spans="1:28" s="24" customFormat="1" ht="93" hidden="1" customHeight="1" x14ac:dyDescent="0.25">
      <c r="A114" s="24" t="s">
        <v>26</v>
      </c>
      <c r="B114" s="24" t="s">
        <v>27</v>
      </c>
      <c r="C114" s="24" t="s">
        <v>28</v>
      </c>
      <c r="D114" s="24" t="s">
        <v>29</v>
      </c>
      <c r="E114" s="421"/>
      <c r="F114" s="422"/>
      <c r="G114" s="24" t="s">
        <v>30</v>
      </c>
      <c r="H114" s="24" t="s">
        <v>31</v>
      </c>
      <c r="I114" s="423"/>
      <c r="J114" s="424"/>
      <c r="K114" s="307" t="s">
        <v>34</v>
      </c>
      <c r="L114" s="307" t="s">
        <v>35</v>
      </c>
      <c r="M114" s="425"/>
      <c r="N114" s="426"/>
      <c r="O114" s="309" t="s">
        <v>38</v>
      </c>
      <c r="P114" s="438"/>
      <c r="Q114" s="27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3"/>
    </row>
    <row r="115" spans="1:28" s="22" customFormat="1" ht="16.5" hidden="1" customHeight="1" x14ac:dyDescent="0.25">
      <c r="A115" s="25" t="s">
        <v>40</v>
      </c>
      <c r="B115" s="25" t="s">
        <v>40</v>
      </c>
      <c r="C115" s="25" t="s">
        <v>41</v>
      </c>
      <c r="D115" s="25" t="s">
        <v>41</v>
      </c>
      <c r="E115" s="404"/>
      <c r="F115" s="405"/>
      <c r="G115" s="25" t="s">
        <v>42</v>
      </c>
      <c r="H115" s="25" t="s">
        <v>42</v>
      </c>
      <c r="I115" s="412"/>
      <c r="J115" s="413"/>
      <c r="K115" s="301" t="s">
        <v>15</v>
      </c>
      <c r="L115" s="301" t="s">
        <v>15</v>
      </c>
      <c r="M115" s="417"/>
      <c r="N115" s="418"/>
      <c r="O115" s="310" t="s">
        <v>43</v>
      </c>
      <c r="P115" s="439"/>
      <c r="Q115" s="27"/>
    </row>
    <row r="116" spans="1:28" s="52" customFormat="1" hidden="1" outlineLevel="1" x14ac:dyDescent="0.25">
      <c r="A116" s="53">
        <v>25</v>
      </c>
      <c r="B116" s="53">
        <v>32</v>
      </c>
      <c r="C116" s="73">
        <v>0</v>
      </c>
      <c r="D116" s="73">
        <v>0</v>
      </c>
      <c r="E116" s="404"/>
      <c r="F116" s="405"/>
      <c r="G116" s="56">
        <f>(IF($I$33-$I$37&gt;$X$8,X9+(Y9-X9)*($I$33-$I$37-$X$8)/($Y$8-$X$8),W9+(X9-W9)*($I$33-$I$37-$W$8)/($X$8-$W$8)))/1.163</f>
        <v>11.743609057302411</v>
      </c>
      <c r="H116" s="56">
        <f>G116*0.5</f>
        <v>5.8718045286512055</v>
      </c>
      <c r="I116" s="412"/>
      <c r="J116" s="413"/>
      <c r="K116" s="303">
        <f t="shared" ref="K116:L122" si="12">C116*G116*$I$39*1.2/1000000*24*$P$37</f>
        <v>0</v>
      </c>
      <c r="L116" s="303">
        <f t="shared" si="12"/>
        <v>0</v>
      </c>
      <c r="M116" s="417"/>
      <c r="N116" s="418"/>
      <c r="O116" s="311">
        <f>(C116+D116)*A116*A116/1000000/4*(3.1416*24*0.0025)</f>
        <v>0</v>
      </c>
      <c r="P116" s="439"/>
      <c r="Q116" s="37"/>
    </row>
    <row r="117" spans="1:28" s="52" customFormat="1" hidden="1" outlineLevel="1" x14ac:dyDescent="0.25">
      <c r="A117" s="53">
        <v>40</v>
      </c>
      <c r="B117" s="53">
        <v>45</v>
      </c>
      <c r="C117" s="73">
        <v>0</v>
      </c>
      <c r="D117" s="73">
        <v>0</v>
      </c>
      <c r="E117" s="404"/>
      <c r="F117" s="405"/>
      <c r="G117" s="56">
        <f t="shared" ref="G117:G135" si="13">(IF($I$33-$I$37&gt;$X$8,X10+(Y10-X10)*($I$33-$I$37-$X$8)/($Y$8-$X$8),W10+(X10-W10)*($I$33-$I$37-$W$8)/($X$8-$W$8)))/1.163</f>
        <v>13.557569695542982</v>
      </c>
      <c r="H117" s="56">
        <f>G117*0.5</f>
        <v>6.7787848477714912</v>
      </c>
      <c r="I117" s="412"/>
      <c r="J117" s="413"/>
      <c r="K117" s="303">
        <f t="shared" si="12"/>
        <v>0</v>
      </c>
      <c r="L117" s="303">
        <f t="shared" si="12"/>
        <v>0</v>
      </c>
      <c r="M117" s="417"/>
      <c r="N117" s="418"/>
      <c r="O117" s="311">
        <f t="shared" ref="O117:O134" si="14">(C117+D117)*A117*A117/1000000/4*(3.1416*24*0.0025)</f>
        <v>0</v>
      </c>
      <c r="P117" s="439"/>
      <c r="Q117" s="37"/>
    </row>
    <row r="118" spans="1:28" s="52" customFormat="1" hidden="1" outlineLevel="1" x14ac:dyDescent="0.25">
      <c r="A118" s="53">
        <v>50</v>
      </c>
      <c r="B118" s="53">
        <v>57</v>
      </c>
      <c r="C118" s="73">
        <v>0</v>
      </c>
      <c r="D118" s="73">
        <v>0</v>
      </c>
      <c r="E118" s="404"/>
      <c r="F118" s="405"/>
      <c r="G118" s="56">
        <f t="shared" si="13"/>
        <v>15.277260151260954</v>
      </c>
      <c r="H118" s="56">
        <f>G118*0.5</f>
        <v>7.638630075630477</v>
      </c>
      <c r="I118" s="412"/>
      <c r="J118" s="413"/>
      <c r="K118" s="303">
        <f t="shared" si="12"/>
        <v>0</v>
      </c>
      <c r="L118" s="303">
        <f t="shared" si="12"/>
        <v>0</v>
      </c>
      <c r="M118" s="417"/>
      <c r="N118" s="418"/>
      <c r="O118" s="311">
        <f t="shared" si="14"/>
        <v>0</v>
      </c>
      <c r="P118" s="439"/>
      <c r="Q118" s="37"/>
    </row>
    <row r="119" spans="1:28" s="52" customFormat="1" hidden="1" outlineLevel="1" x14ac:dyDescent="0.25">
      <c r="A119" s="53">
        <v>65</v>
      </c>
      <c r="B119" s="53">
        <v>76</v>
      </c>
      <c r="C119" s="73">
        <v>0</v>
      </c>
      <c r="D119" s="73">
        <v>0</v>
      </c>
      <c r="E119" s="404"/>
      <c r="F119" s="405"/>
      <c r="G119" s="56">
        <f t="shared" si="13"/>
        <v>17.138355880762823</v>
      </c>
      <c r="H119" s="56">
        <f>G119*0.5</f>
        <v>8.5691779403814117</v>
      </c>
      <c r="I119" s="412"/>
      <c r="J119" s="413"/>
      <c r="K119" s="303">
        <f t="shared" si="12"/>
        <v>0</v>
      </c>
      <c r="L119" s="303">
        <f t="shared" si="12"/>
        <v>0</v>
      </c>
      <c r="M119" s="417"/>
      <c r="N119" s="418"/>
      <c r="O119" s="311">
        <f t="shared" si="14"/>
        <v>0</v>
      </c>
      <c r="P119" s="439"/>
      <c r="Q119" s="37"/>
    </row>
    <row r="120" spans="1:28" s="52" customFormat="1" hidden="1" outlineLevel="1" x14ac:dyDescent="0.25">
      <c r="A120" s="53">
        <v>80</v>
      </c>
      <c r="B120" s="53">
        <v>89</v>
      </c>
      <c r="C120" s="73">
        <v>0</v>
      </c>
      <c r="D120" s="73">
        <v>0</v>
      </c>
      <c r="E120" s="404"/>
      <c r="F120" s="405"/>
      <c r="G120" s="56">
        <f t="shared" si="13"/>
        <v>18.905181427742093</v>
      </c>
      <c r="H120" s="56">
        <f>G120*0.6</f>
        <v>11.343108856645255</v>
      </c>
      <c r="I120" s="412"/>
      <c r="J120" s="413"/>
      <c r="K120" s="303">
        <f t="shared" si="12"/>
        <v>0</v>
      </c>
      <c r="L120" s="303">
        <f t="shared" si="12"/>
        <v>0</v>
      </c>
      <c r="M120" s="417"/>
      <c r="N120" s="418"/>
      <c r="O120" s="311">
        <f t="shared" si="14"/>
        <v>0</v>
      </c>
      <c r="P120" s="439"/>
      <c r="Q120" s="37"/>
    </row>
    <row r="121" spans="1:28" s="52" customFormat="1" hidden="1" outlineLevel="1" x14ac:dyDescent="0.25">
      <c r="A121" s="53">
        <v>100</v>
      </c>
      <c r="B121" s="53">
        <v>108</v>
      </c>
      <c r="C121" s="73">
        <v>0</v>
      </c>
      <c r="D121" s="73">
        <v>0</v>
      </c>
      <c r="E121" s="404"/>
      <c r="F121" s="405"/>
      <c r="G121" s="56">
        <f t="shared" si="13"/>
        <v>21.53185220258035</v>
      </c>
      <c r="H121" s="56">
        <f>G121*0.6</f>
        <v>12.919111321548209</v>
      </c>
      <c r="I121" s="412"/>
      <c r="J121" s="413"/>
      <c r="K121" s="303">
        <f t="shared" si="12"/>
        <v>0</v>
      </c>
      <c r="L121" s="303">
        <f t="shared" si="12"/>
        <v>0</v>
      </c>
      <c r="M121" s="417"/>
      <c r="N121" s="418"/>
      <c r="O121" s="311">
        <f t="shared" si="14"/>
        <v>0</v>
      </c>
      <c r="P121" s="439"/>
      <c r="Q121" s="37"/>
    </row>
    <row r="122" spans="1:28" s="52" customFormat="1" hidden="1" outlineLevel="1" x14ac:dyDescent="0.25">
      <c r="A122" s="53">
        <v>125</v>
      </c>
      <c r="B122" s="53">
        <v>133</v>
      </c>
      <c r="C122" s="73">
        <v>0</v>
      </c>
      <c r="D122" s="73">
        <v>0</v>
      </c>
      <c r="E122" s="404"/>
      <c r="F122" s="405"/>
      <c r="G122" s="56">
        <f t="shared" si="13"/>
        <v>24.252793159941206</v>
      </c>
      <c r="H122" s="56">
        <f>G122*0.6</f>
        <v>14.551675895964722</v>
      </c>
      <c r="I122" s="412"/>
      <c r="J122" s="413"/>
      <c r="K122" s="303">
        <f t="shared" si="12"/>
        <v>0</v>
      </c>
      <c r="L122" s="303">
        <f t="shared" si="12"/>
        <v>0</v>
      </c>
      <c r="M122" s="417"/>
      <c r="N122" s="418"/>
      <c r="O122" s="311">
        <f t="shared" si="14"/>
        <v>0</v>
      </c>
      <c r="P122" s="439"/>
      <c r="Q122" s="37"/>
    </row>
    <row r="123" spans="1:28" s="52" customFormat="1" hidden="1" outlineLevel="1" x14ac:dyDescent="0.25">
      <c r="A123" s="53">
        <v>150</v>
      </c>
      <c r="B123" s="53">
        <v>159</v>
      </c>
      <c r="C123" s="73">
        <v>0</v>
      </c>
      <c r="D123" s="73">
        <v>0</v>
      </c>
      <c r="E123" s="404"/>
      <c r="F123" s="405"/>
      <c r="G123" s="56">
        <f t="shared" si="13"/>
        <v>26.926599026040762</v>
      </c>
      <c r="H123" s="56">
        <f>G123*0.6</f>
        <v>16.155959415624455</v>
      </c>
      <c r="I123" s="412"/>
      <c r="J123" s="413"/>
      <c r="K123" s="303">
        <f>C123*G123*$I$39*1.15/1000000*24*$P$37</f>
        <v>0</v>
      </c>
      <c r="L123" s="303">
        <f>D123*H123*$I$39*1.15/1000000*24*$P$37</f>
        <v>0</v>
      </c>
      <c r="M123" s="417"/>
      <c r="N123" s="418"/>
      <c r="O123" s="311">
        <f t="shared" si="14"/>
        <v>0</v>
      </c>
      <c r="P123" s="439"/>
      <c r="Q123" s="37"/>
    </row>
    <row r="124" spans="1:28" s="52" customFormat="1" hidden="1" outlineLevel="1" x14ac:dyDescent="0.25">
      <c r="A124" s="53">
        <v>200</v>
      </c>
      <c r="B124" s="53">
        <v>219</v>
      </c>
      <c r="C124" s="73">
        <v>0</v>
      </c>
      <c r="D124" s="73">
        <v>0</v>
      </c>
      <c r="E124" s="404"/>
      <c r="F124" s="405"/>
      <c r="G124" s="56">
        <f t="shared" si="13"/>
        <v>33.134055986098865</v>
      </c>
      <c r="H124" s="56">
        <f>G124*0.7</f>
        <v>23.193839190269205</v>
      </c>
      <c r="I124" s="412"/>
      <c r="J124" s="413"/>
      <c r="K124" s="303">
        <f t="shared" ref="K124:L135" si="15">C124*G124*$I$39*1.15/1000000*24*$P$37</f>
        <v>0</v>
      </c>
      <c r="L124" s="303">
        <f t="shared" si="15"/>
        <v>0</v>
      </c>
      <c r="M124" s="417"/>
      <c r="N124" s="418"/>
      <c r="O124" s="311">
        <f t="shared" si="14"/>
        <v>0</v>
      </c>
      <c r="P124" s="439"/>
      <c r="Q124" s="37"/>
    </row>
    <row r="125" spans="1:28" s="52" customFormat="1" hidden="1" outlineLevel="1" x14ac:dyDescent="0.25">
      <c r="A125" s="53">
        <v>250</v>
      </c>
      <c r="B125" s="53">
        <v>273</v>
      </c>
      <c r="C125" s="73">
        <v>0</v>
      </c>
      <c r="D125" s="73">
        <v>0</v>
      </c>
      <c r="E125" s="404"/>
      <c r="F125" s="405"/>
      <c r="G125" s="56">
        <f t="shared" si="13"/>
        <v>38.48166771829797</v>
      </c>
      <c r="H125" s="56">
        <f>G125*0.7</f>
        <v>26.937167402808576</v>
      </c>
      <c r="I125" s="412"/>
      <c r="J125" s="413"/>
      <c r="K125" s="303">
        <f t="shared" si="15"/>
        <v>0</v>
      </c>
      <c r="L125" s="303">
        <f t="shared" si="15"/>
        <v>0</v>
      </c>
      <c r="M125" s="417"/>
      <c r="N125" s="418"/>
      <c r="O125" s="311">
        <f t="shared" si="14"/>
        <v>0</v>
      </c>
      <c r="P125" s="439"/>
      <c r="Q125" s="37"/>
    </row>
    <row r="126" spans="1:28" s="52" customFormat="1" hidden="1" outlineLevel="1" x14ac:dyDescent="0.25">
      <c r="A126" s="53">
        <v>300</v>
      </c>
      <c r="B126" s="53">
        <v>325</v>
      </c>
      <c r="C126" s="73">
        <v>0</v>
      </c>
      <c r="D126" s="73">
        <v>0</v>
      </c>
      <c r="E126" s="404"/>
      <c r="F126" s="405"/>
      <c r="G126" s="56">
        <f t="shared" si="13"/>
        <v>43.782144359235787</v>
      </c>
      <c r="H126" s="56">
        <f>G126*0.7</f>
        <v>30.647501051465049</v>
      </c>
      <c r="I126" s="412"/>
      <c r="J126" s="413"/>
      <c r="K126" s="303">
        <f t="shared" si="15"/>
        <v>0</v>
      </c>
      <c r="L126" s="303">
        <f t="shared" si="15"/>
        <v>0</v>
      </c>
      <c r="M126" s="417"/>
      <c r="N126" s="418"/>
      <c r="O126" s="311">
        <f t="shared" si="14"/>
        <v>0</v>
      </c>
      <c r="P126" s="439"/>
      <c r="Q126" s="37"/>
    </row>
    <row r="127" spans="1:28" s="52" customFormat="1" hidden="1" outlineLevel="1" x14ac:dyDescent="0.25">
      <c r="A127" s="53">
        <v>350</v>
      </c>
      <c r="B127" s="53">
        <v>377</v>
      </c>
      <c r="C127" s="73">
        <v>0</v>
      </c>
      <c r="D127" s="73">
        <v>0</v>
      </c>
      <c r="E127" s="404"/>
      <c r="F127" s="405"/>
      <c r="G127" s="56">
        <f t="shared" si="13"/>
        <v>49.082621000173603</v>
      </c>
      <c r="H127" s="56">
        <f t="shared" ref="H127:H135" si="16">G127*0.8</f>
        <v>39.266096800138882</v>
      </c>
      <c r="I127" s="412"/>
      <c r="J127" s="413"/>
      <c r="K127" s="303">
        <f t="shared" si="15"/>
        <v>0</v>
      </c>
      <c r="L127" s="303">
        <f t="shared" si="15"/>
        <v>0</v>
      </c>
      <c r="M127" s="417"/>
      <c r="N127" s="418"/>
      <c r="O127" s="311">
        <f t="shared" si="14"/>
        <v>0</v>
      </c>
      <c r="P127" s="439"/>
      <c r="Q127" s="37"/>
    </row>
    <row r="128" spans="1:28" s="52" customFormat="1" hidden="1" outlineLevel="1" x14ac:dyDescent="0.25">
      <c r="A128" s="53">
        <v>400</v>
      </c>
      <c r="B128" s="53">
        <v>426</v>
      </c>
      <c r="C128" s="73">
        <v>0</v>
      </c>
      <c r="D128" s="73">
        <v>0</v>
      </c>
      <c r="E128" s="404"/>
      <c r="F128" s="405"/>
      <c r="G128" s="56">
        <f t="shared" si="13"/>
        <v>54.383097641111412</v>
      </c>
      <c r="H128" s="56">
        <f t="shared" si="16"/>
        <v>43.506478112889134</v>
      </c>
      <c r="I128" s="412"/>
      <c r="J128" s="413"/>
      <c r="K128" s="303">
        <f t="shared" si="15"/>
        <v>0</v>
      </c>
      <c r="L128" s="303">
        <f t="shared" si="15"/>
        <v>0</v>
      </c>
      <c r="M128" s="417"/>
      <c r="N128" s="418"/>
      <c r="O128" s="311">
        <f t="shared" si="14"/>
        <v>0</v>
      </c>
      <c r="P128" s="439"/>
      <c r="Q128" s="37"/>
    </row>
    <row r="129" spans="1:28" s="52" customFormat="1" hidden="1" outlineLevel="1" x14ac:dyDescent="0.25">
      <c r="A129" s="53">
        <v>450</v>
      </c>
      <c r="B129" s="53">
        <v>478</v>
      </c>
      <c r="C129" s="73">
        <v>0</v>
      </c>
      <c r="D129" s="73">
        <v>0</v>
      </c>
      <c r="E129" s="404"/>
      <c r="F129" s="405"/>
      <c r="G129" s="56">
        <f t="shared" si="13"/>
        <v>57.963883826331248</v>
      </c>
      <c r="H129" s="56">
        <f t="shared" si="16"/>
        <v>46.371107061065004</v>
      </c>
      <c r="I129" s="412"/>
      <c r="J129" s="413"/>
      <c r="K129" s="303">
        <f t="shared" si="15"/>
        <v>0</v>
      </c>
      <c r="L129" s="303">
        <f t="shared" si="15"/>
        <v>0</v>
      </c>
      <c r="M129" s="417"/>
      <c r="N129" s="418"/>
      <c r="O129" s="311">
        <f t="shared" si="14"/>
        <v>0</v>
      </c>
      <c r="P129" s="439"/>
      <c r="Q129" s="37"/>
    </row>
    <row r="130" spans="1:28" s="52" customFormat="1" hidden="1" outlineLevel="1" x14ac:dyDescent="0.25">
      <c r="A130" s="53">
        <v>500</v>
      </c>
      <c r="B130" s="53">
        <v>529</v>
      </c>
      <c r="C130" s="73">
        <v>0</v>
      </c>
      <c r="D130" s="73">
        <v>0</v>
      </c>
      <c r="E130" s="404"/>
      <c r="F130" s="405"/>
      <c r="G130" s="56">
        <f t="shared" si="13"/>
        <v>63.311495558530368</v>
      </c>
      <c r="H130" s="56">
        <f t="shared" si="16"/>
        <v>50.649196446824298</v>
      </c>
      <c r="I130" s="412"/>
      <c r="J130" s="413"/>
      <c r="K130" s="303">
        <f t="shared" si="15"/>
        <v>0</v>
      </c>
      <c r="L130" s="303">
        <f t="shared" si="15"/>
        <v>0</v>
      </c>
      <c r="M130" s="417"/>
      <c r="N130" s="418"/>
      <c r="O130" s="311">
        <f t="shared" si="14"/>
        <v>0</v>
      </c>
      <c r="P130" s="439"/>
      <c r="Q130" s="37"/>
    </row>
    <row r="131" spans="1:28" s="52" customFormat="1" hidden="1" outlineLevel="1" x14ac:dyDescent="0.25">
      <c r="A131" s="53">
        <v>600</v>
      </c>
      <c r="B131" s="53">
        <v>630</v>
      </c>
      <c r="C131" s="73">
        <v>0</v>
      </c>
      <c r="D131" s="73">
        <v>0</v>
      </c>
      <c r="E131" s="404"/>
      <c r="F131" s="405"/>
      <c r="G131" s="56">
        <f t="shared" si="13"/>
        <v>72.769793064979197</v>
      </c>
      <c r="H131" s="56">
        <f t="shared" si="16"/>
        <v>58.215834451983362</v>
      </c>
      <c r="I131" s="412"/>
      <c r="J131" s="413"/>
      <c r="K131" s="303">
        <f t="shared" si="15"/>
        <v>0</v>
      </c>
      <c r="L131" s="303">
        <f t="shared" si="15"/>
        <v>0</v>
      </c>
      <c r="M131" s="417"/>
      <c r="N131" s="418"/>
      <c r="O131" s="311">
        <f t="shared" si="14"/>
        <v>0</v>
      </c>
      <c r="P131" s="439"/>
      <c r="Q131" s="37"/>
    </row>
    <row r="132" spans="1:28" s="52" customFormat="1" hidden="1" outlineLevel="1" x14ac:dyDescent="0.25">
      <c r="A132" s="53">
        <v>700</v>
      </c>
      <c r="B132" s="53">
        <v>720</v>
      </c>
      <c r="C132" s="73">
        <v>0</v>
      </c>
      <c r="D132" s="73">
        <v>0</v>
      </c>
      <c r="E132" s="404"/>
      <c r="F132" s="405"/>
      <c r="G132" s="56">
        <f t="shared" si="13"/>
        <v>81.886731347443359</v>
      </c>
      <c r="H132" s="56">
        <f t="shared" si="16"/>
        <v>65.50938507795469</v>
      </c>
      <c r="I132" s="412"/>
      <c r="J132" s="413"/>
      <c r="K132" s="303">
        <f t="shared" si="15"/>
        <v>0</v>
      </c>
      <c r="L132" s="303">
        <f t="shared" si="15"/>
        <v>0</v>
      </c>
      <c r="M132" s="417"/>
      <c r="N132" s="418"/>
      <c r="O132" s="311">
        <f t="shared" si="14"/>
        <v>0</v>
      </c>
      <c r="P132" s="439"/>
      <c r="Q132" s="37"/>
    </row>
    <row r="133" spans="1:28" s="52" customFormat="1" hidden="1" outlineLevel="1" x14ac:dyDescent="0.25">
      <c r="A133" s="53">
        <v>800</v>
      </c>
      <c r="B133" s="53">
        <v>820</v>
      </c>
      <c r="C133" s="73">
        <v>0</v>
      </c>
      <c r="D133" s="73">
        <v>0</v>
      </c>
      <c r="E133" s="404"/>
      <c r="F133" s="405"/>
      <c r="G133" s="56">
        <f t="shared" si="13"/>
        <v>91.580704310198698</v>
      </c>
      <c r="H133" s="56">
        <f t="shared" si="16"/>
        <v>73.264563448158967</v>
      </c>
      <c r="I133" s="412"/>
      <c r="J133" s="413"/>
      <c r="K133" s="303">
        <f t="shared" si="15"/>
        <v>0</v>
      </c>
      <c r="L133" s="303">
        <f t="shared" si="15"/>
        <v>0</v>
      </c>
      <c r="M133" s="417"/>
      <c r="N133" s="418"/>
      <c r="O133" s="311">
        <f t="shared" si="14"/>
        <v>0</v>
      </c>
      <c r="P133" s="439"/>
      <c r="Q133" s="37"/>
    </row>
    <row r="134" spans="1:28" s="52" customFormat="1" hidden="1" outlineLevel="1" x14ac:dyDescent="0.25">
      <c r="A134" s="53">
        <v>900</v>
      </c>
      <c r="B134" s="53">
        <v>920</v>
      </c>
      <c r="C134" s="73">
        <v>0</v>
      </c>
      <c r="D134" s="73">
        <v>0</v>
      </c>
      <c r="E134" s="404"/>
      <c r="F134" s="405"/>
      <c r="G134" s="56">
        <f t="shared" si="13"/>
        <v>100.50910222761765</v>
      </c>
      <c r="H134" s="56">
        <f t="shared" si="16"/>
        <v>80.407281782094117</v>
      </c>
      <c r="I134" s="412"/>
      <c r="J134" s="413"/>
      <c r="K134" s="303">
        <f t="shared" si="15"/>
        <v>0</v>
      </c>
      <c r="L134" s="303">
        <f t="shared" si="15"/>
        <v>0</v>
      </c>
      <c r="M134" s="417"/>
      <c r="N134" s="418"/>
      <c r="O134" s="311">
        <f t="shared" si="14"/>
        <v>0</v>
      </c>
      <c r="P134" s="439"/>
      <c r="Q134" s="37"/>
    </row>
    <row r="135" spans="1:28" s="52" customFormat="1" hidden="1" outlineLevel="1" x14ac:dyDescent="0.25">
      <c r="A135" s="53">
        <v>1000</v>
      </c>
      <c r="B135" s="53">
        <v>1020</v>
      </c>
      <c r="C135" s="73">
        <v>0</v>
      </c>
      <c r="D135" s="73">
        <v>0</v>
      </c>
      <c r="E135" s="404"/>
      <c r="F135" s="405"/>
      <c r="G135" s="56">
        <f t="shared" si="13"/>
        <v>110.25021028163428</v>
      </c>
      <c r="H135" s="56">
        <f t="shared" si="16"/>
        <v>88.200168225307436</v>
      </c>
      <c r="I135" s="412"/>
      <c r="J135" s="413"/>
      <c r="K135" s="303">
        <f t="shared" si="15"/>
        <v>0</v>
      </c>
      <c r="L135" s="303">
        <f t="shared" si="15"/>
        <v>0</v>
      </c>
      <c r="M135" s="417"/>
      <c r="N135" s="418"/>
      <c r="O135" s="311">
        <f>(C135+D135)*A135*A135/1000000/4*(3.1416*24*0.0025)</f>
        <v>0</v>
      </c>
      <c r="P135" s="439"/>
      <c r="Q135" s="37"/>
    </row>
    <row r="136" spans="1:28" s="30" customFormat="1" ht="45.75" hidden="1" customHeight="1" thickBot="1" x14ac:dyDescent="0.3">
      <c r="A136" s="400" t="s">
        <v>49</v>
      </c>
      <c r="B136" s="401"/>
      <c r="C136" s="28">
        <f>SUM(C116:C135)</f>
        <v>0</v>
      </c>
      <c r="D136" s="28">
        <f>SUM(D116:D135)</f>
        <v>0</v>
      </c>
      <c r="E136" s="406"/>
      <c r="F136" s="407"/>
      <c r="G136" s="15">
        <f>IF(C136=0,0,SUMPRODUCT(C116:C135,G116:G135)/C136)</f>
        <v>0</v>
      </c>
      <c r="H136" s="15">
        <f>IF(D136=0,0,SUMPRODUCT(D116:D135,H116:H135)/D136)</f>
        <v>0</v>
      </c>
      <c r="I136" s="414"/>
      <c r="J136" s="415"/>
      <c r="K136" s="305">
        <f>SUM(K116:K135)</f>
        <v>0</v>
      </c>
      <c r="L136" s="305">
        <f>SUM(L116:L135)</f>
        <v>0</v>
      </c>
      <c r="M136" s="419"/>
      <c r="N136" s="420"/>
      <c r="O136" s="312">
        <f>SUM(O116:O135)</f>
        <v>0</v>
      </c>
      <c r="P136" s="440"/>
      <c r="Q136" s="29"/>
    </row>
    <row r="137" spans="1:28" s="54" customFormat="1" ht="30.75" customHeight="1" x14ac:dyDescent="0.25">
      <c r="A137" s="429" t="s">
        <v>72</v>
      </c>
      <c r="B137" s="430"/>
      <c r="C137" s="430"/>
      <c r="D137" s="430"/>
      <c r="E137" s="430"/>
      <c r="F137" s="430"/>
      <c r="G137" s="430"/>
      <c r="H137" s="430"/>
      <c r="I137" s="430"/>
      <c r="J137" s="430"/>
      <c r="K137" s="430"/>
      <c r="L137" s="430"/>
      <c r="M137" s="430"/>
      <c r="N137" s="430"/>
      <c r="O137" s="430"/>
      <c r="P137" s="441"/>
      <c r="Q137" s="74"/>
    </row>
    <row r="138" spans="1:28" s="24" customFormat="1" ht="93" customHeight="1" x14ac:dyDescent="0.25">
      <c r="A138" s="24" t="s">
        <v>26</v>
      </c>
      <c r="B138" s="24" t="s">
        <v>27</v>
      </c>
      <c r="C138" s="24" t="s">
        <v>28</v>
      </c>
      <c r="D138" s="24" t="s">
        <v>29</v>
      </c>
      <c r="E138" s="421"/>
      <c r="F138" s="422"/>
      <c r="G138" s="24" t="s">
        <v>30</v>
      </c>
      <c r="H138" s="24" t="s">
        <v>31</v>
      </c>
      <c r="I138" s="423"/>
      <c r="J138" s="424"/>
      <c r="K138" s="307" t="s">
        <v>34</v>
      </c>
      <c r="L138" s="307" t="s">
        <v>35</v>
      </c>
      <c r="M138" s="425"/>
      <c r="N138" s="426"/>
      <c r="O138" s="308" t="s">
        <v>38</v>
      </c>
      <c r="P138" s="432"/>
      <c r="Q138" s="21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3"/>
    </row>
    <row r="139" spans="1:28" s="22" customFormat="1" ht="18.75" customHeight="1" x14ac:dyDescent="0.25">
      <c r="A139" s="25" t="s">
        <v>40</v>
      </c>
      <c r="B139" s="25" t="s">
        <v>40</v>
      </c>
      <c r="C139" s="25" t="s">
        <v>41</v>
      </c>
      <c r="D139" s="25" t="s">
        <v>41</v>
      </c>
      <c r="E139" s="404"/>
      <c r="F139" s="405"/>
      <c r="G139" s="25" t="s">
        <v>42</v>
      </c>
      <c r="H139" s="25" t="s">
        <v>42</v>
      </c>
      <c r="I139" s="412"/>
      <c r="J139" s="413"/>
      <c r="K139" s="301" t="s">
        <v>15</v>
      </c>
      <c r="L139" s="301" t="s">
        <v>15</v>
      </c>
      <c r="M139" s="417"/>
      <c r="N139" s="418"/>
      <c r="O139" s="302" t="s">
        <v>43</v>
      </c>
      <c r="P139" s="409"/>
      <c r="Q139" s="27"/>
    </row>
    <row r="140" spans="1:28" s="52" customFormat="1" outlineLevel="1" x14ac:dyDescent="0.25">
      <c r="A140" s="53">
        <v>25</v>
      </c>
      <c r="B140" s="53">
        <v>32</v>
      </c>
      <c r="C140" s="73">
        <v>0</v>
      </c>
      <c r="D140" s="73">
        <v>0</v>
      </c>
      <c r="E140" s="404"/>
      <c r="F140" s="405"/>
      <c r="G140" s="56">
        <f>((E9-C9)/(150-95)*('темп граф'!$C$6-95)+'норм втрати'!C9+('норм втрати'!F9-'норм втрати'!D9)/(150-95)*('темп граф'!$C$6-95)+'норм втрати'!D9)/1.163</f>
        <v>26.889705307590084</v>
      </c>
      <c r="H140" s="56">
        <f>G140*0.5</f>
        <v>13.444852653795042</v>
      </c>
      <c r="I140" s="412"/>
      <c r="J140" s="413"/>
      <c r="K140" s="303">
        <f t="shared" ref="K140:L146" si="17">C140*G140*$J$39*1.2/1000000*24*$P$38</f>
        <v>0</v>
      </c>
      <c r="L140" s="303">
        <f t="shared" si="17"/>
        <v>0</v>
      </c>
      <c r="M140" s="417"/>
      <c r="N140" s="418"/>
      <c r="O140" s="304">
        <f>(C140+D140)*A140*A140/1000000/2*(3.1416*24*0.0025)</f>
        <v>0</v>
      </c>
      <c r="P140" s="409"/>
      <c r="Q140" s="37"/>
    </row>
    <row r="141" spans="1:28" s="52" customFormat="1" outlineLevel="1" x14ac:dyDescent="0.25">
      <c r="A141" s="53">
        <v>40</v>
      </c>
      <c r="B141" s="53">
        <v>45</v>
      </c>
      <c r="C141" s="73">
        <v>0</v>
      </c>
      <c r="D141" s="73">
        <v>0</v>
      </c>
      <c r="E141" s="404"/>
      <c r="F141" s="405"/>
      <c r="G141" s="56">
        <f>((E10-C10)/(150-95)*('темп граф'!$C$6-95)+'норм втрати'!C10+('норм втрати'!F10-'норм втрати'!D10)/(150-95)*('темп граф'!$C$6-95)+'норм втрати'!D10)/1.163</f>
        <v>31.188931446885007</v>
      </c>
      <c r="H141" s="56">
        <f>G141*0.5</f>
        <v>15.594465723442504</v>
      </c>
      <c r="I141" s="412"/>
      <c r="J141" s="413"/>
      <c r="K141" s="303">
        <f t="shared" si="17"/>
        <v>0</v>
      </c>
      <c r="L141" s="303">
        <f t="shared" si="17"/>
        <v>0</v>
      </c>
      <c r="M141" s="417"/>
      <c r="N141" s="418"/>
      <c r="O141" s="304">
        <f t="shared" ref="O141:O159" si="18">(C141+D141)*A141*A141/1000000/2*(3.1416*24*0.0025)</f>
        <v>0</v>
      </c>
      <c r="P141" s="409"/>
      <c r="Q141" s="37"/>
    </row>
    <row r="142" spans="1:28" s="52" customFormat="1" outlineLevel="1" x14ac:dyDescent="0.25">
      <c r="A142" s="53">
        <v>50</v>
      </c>
      <c r="B142" s="53">
        <v>57</v>
      </c>
      <c r="C142" s="73">
        <v>4.5</v>
      </c>
      <c r="D142" s="73">
        <v>0</v>
      </c>
      <c r="E142" s="404"/>
      <c r="F142" s="405"/>
      <c r="G142" s="56">
        <f>((E11-C11)/(150-95)*('темп граф'!$C$6-95)+'норм втрати'!C11+('норм втрати'!F11-'норм втрати'!D11)/(150-95)*('темп граф'!$C$6-95)+'норм втрати'!D11)/1.163</f>
        <v>33.377628390526063</v>
      </c>
      <c r="H142" s="56">
        <f>G142*0.5</f>
        <v>16.688814195263031</v>
      </c>
      <c r="I142" s="412"/>
      <c r="J142" s="413"/>
      <c r="K142" s="303">
        <f t="shared" si="17"/>
        <v>0.8089134995700773</v>
      </c>
      <c r="L142" s="303">
        <f t="shared" si="17"/>
        <v>0</v>
      </c>
      <c r="M142" s="417"/>
      <c r="N142" s="418"/>
      <c r="O142" s="304">
        <f t="shared" si="18"/>
        <v>1.06029E-3</v>
      </c>
      <c r="P142" s="409"/>
      <c r="Q142" s="37"/>
    </row>
    <row r="143" spans="1:28" s="52" customFormat="1" outlineLevel="1" x14ac:dyDescent="0.25">
      <c r="A143" s="53">
        <v>65</v>
      </c>
      <c r="B143" s="53">
        <v>76</v>
      </c>
      <c r="C143" s="73">
        <v>0</v>
      </c>
      <c r="D143" s="73">
        <v>0</v>
      </c>
      <c r="E143" s="404"/>
      <c r="F143" s="405"/>
      <c r="G143" s="56">
        <f>((E12-C12)/(150-95)*('темп граф'!$C$6-95)+'норм втрати'!C12+('норм втрати'!F12-'норм втрати'!D12)/(150-95)*('темп граф'!$C$6-95)+'норм втрати'!D12)/1.163</f>
        <v>40.803564449308212</v>
      </c>
      <c r="H143" s="56">
        <f>G143*0.5</f>
        <v>20.401782224654106</v>
      </c>
      <c r="I143" s="412"/>
      <c r="J143" s="413"/>
      <c r="K143" s="303">
        <f t="shared" si="17"/>
        <v>0</v>
      </c>
      <c r="L143" s="303">
        <f t="shared" si="17"/>
        <v>0</v>
      </c>
      <c r="M143" s="417"/>
      <c r="N143" s="418"/>
      <c r="O143" s="304">
        <f t="shared" si="18"/>
        <v>0</v>
      </c>
      <c r="P143" s="409"/>
      <c r="Q143" s="37"/>
    </row>
    <row r="144" spans="1:28" s="52" customFormat="1" outlineLevel="1" x14ac:dyDescent="0.25">
      <c r="A144" s="53">
        <v>80</v>
      </c>
      <c r="B144" s="53">
        <v>89</v>
      </c>
      <c r="C144" s="73">
        <v>0</v>
      </c>
      <c r="D144" s="73">
        <v>0</v>
      </c>
      <c r="E144" s="404"/>
      <c r="F144" s="405"/>
      <c r="G144" s="56">
        <f>((E13-C13)/(150-95)*('темп граф'!$C$6-95)+'норм втрати'!C13+('норм втрати'!F13-'норм втрати'!D13)/(150-95)*('темп граф'!$C$6-95)+'норм втрати'!D13)/1.163</f>
        <v>44.946455092628774</v>
      </c>
      <c r="H144" s="56">
        <f>G144*0.6</f>
        <v>26.967873055577265</v>
      </c>
      <c r="I144" s="412"/>
      <c r="J144" s="413"/>
      <c r="K144" s="303">
        <f t="shared" si="17"/>
        <v>0</v>
      </c>
      <c r="L144" s="303">
        <f t="shared" si="17"/>
        <v>0</v>
      </c>
      <c r="M144" s="417"/>
      <c r="N144" s="418"/>
      <c r="O144" s="304">
        <f t="shared" si="18"/>
        <v>0</v>
      </c>
      <c r="P144" s="409"/>
      <c r="Q144" s="37"/>
    </row>
    <row r="145" spans="1:17" s="52" customFormat="1" outlineLevel="1" x14ac:dyDescent="0.25">
      <c r="A145" s="53">
        <v>100</v>
      </c>
      <c r="B145" s="53">
        <v>108</v>
      </c>
      <c r="C145" s="73">
        <v>0</v>
      </c>
      <c r="D145" s="73">
        <v>0</v>
      </c>
      <c r="E145" s="404"/>
      <c r="F145" s="405"/>
      <c r="G145" s="56">
        <f>((E14-C14)/(150-95)*('темп граф'!$C$6-95)+'норм втрати'!C14+('норм втрати'!F14-'норм втрати'!D14)/(150-95)*('темп граф'!$C$6-95)+'норм втрати'!D14)/1.163</f>
        <v>48.854842491987803</v>
      </c>
      <c r="H145" s="56">
        <f>G145*0.6</f>
        <v>29.31290549519268</v>
      </c>
      <c r="I145" s="412"/>
      <c r="J145" s="413"/>
      <c r="K145" s="303">
        <f t="shared" si="17"/>
        <v>0</v>
      </c>
      <c r="L145" s="303">
        <f t="shared" si="17"/>
        <v>0</v>
      </c>
      <c r="M145" s="417"/>
      <c r="N145" s="418"/>
      <c r="O145" s="304">
        <f t="shared" si="18"/>
        <v>0</v>
      </c>
      <c r="P145" s="409"/>
      <c r="Q145" s="37"/>
    </row>
    <row r="146" spans="1:17" s="52" customFormat="1" outlineLevel="1" x14ac:dyDescent="0.25">
      <c r="A146" s="53">
        <v>125</v>
      </c>
      <c r="B146" s="53">
        <v>133</v>
      </c>
      <c r="C146" s="73">
        <v>0</v>
      </c>
      <c r="D146" s="73">
        <v>0</v>
      </c>
      <c r="E146" s="404"/>
      <c r="F146" s="405"/>
      <c r="G146" s="56">
        <f>((E15-C15)/(150-95)*('темп граф'!$C$6-95)+'норм втрати'!C15+('норм втрати'!F15-'норм втрати'!D15)/(150-95)*('темп граф'!$C$6-95)+'норм втрати'!D15)/1.163</f>
        <v>50.887203939654498</v>
      </c>
      <c r="H146" s="56">
        <f>G146*0.6</f>
        <v>30.532322363792698</v>
      </c>
      <c r="I146" s="412"/>
      <c r="J146" s="413"/>
      <c r="K146" s="303">
        <f t="shared" si="17"/>
        <v>0</v>
      </c>
      <c r="L146" s="303">
        <f t="shared" si="17"/>
        <v>0</v>
      </c>
      <c r="M146" s="417"/>
      <c r="N146" s="418"/>
      <c r="O146" s="304">
        <f t="shared" si="18"/>
        <v>0</v>
      </c>
      <c r="P146" s="409"/>
      <c r="Q146" s="37"/>
    </row>
    <row r="147" spans="1:17" s="52" customFormat="1" outlineLevel="1" x14ac:dyDescent="0.25">
      <c r="A147" s="53">
        <v>150</v>
      </c>
      <c r="B147" s="53">
        <v>159</v>
      </c>
      <c r="C147" s="73">
        <v>0</v>
      </c>
      <c r="D147" s="73">
        <v>0</v>
      </c>
      <c r="E147" s="404"/>
      <c r="F147" s="405"/>
      <c r="G147" s="56">
        <f>((E16-C16)/(150-95)*('темп граф'!$C$6-95)+'норм втрати'!C16+('норм втрати'!F16-'норм втрати'!D16)/(150-95)*('темп граф'!$C$6-95)+'норм втрати'!D16)/1.163</f>
        <v>56.906120534667402</v>
      </c>
      <c r="H147" s="56">
        <f>G147*0.6</f>
        <v>34.143672320800441</v>
      </c>
      <c r="I147" s="412"/>
      <c r="J147" s="413"/>
      <c r="K147" s="303">
        <f>C147*G147*$J$39*1.15/1000000*24*$P$38</f>
        <v>0</v>
      </c>
      <c r="L147" s="303">
        <f>D147*H147*$J$39*1.15/1000000*24*$P$38</f>
        <v>0</v>
      </c>
      <c r="M147" s="417"/>
      <c r="N147" s="418"/>
      <c r="O147" s="304">
        <f t="shared" si="18"/>
        <v>0</v>
      </c>
      <c r="P147" s="409"/>
      <c r="Q147" s="37"/>
    </row>
    <row r="148" spans="1:17" s="52" customFormat="1" outlineLevel="1" x14ac:dyDescent="0.25">
      <c r="A148" s="53">
        <v>200</v>
      </c>
      <c r="B148" s="53">
        <v>219</v>
      </c>
      <c r="C148" s="73">
        <v>0</v>
      </c>
      <c r="D148" s="73">
        <v>0</v>
      </c>
      <c r="E148" s="404"/>
      <c r="F148" s="405"/>
      <c r="G148" s="56">
        <f>((E17-C17)/(150-95)*('темп граф'!$C$6-95)+'норм втрати'!C17+('норм втрати'!F17-'норм втрати'!D17)/(150-95)*('темп граф'!$C$6-95)+'норм втрати'!D17)/1.163</f>
        <v>69.960134448526546</v>
      </c>
      <c r="H148" s="56">
        <f>G148*0.7</f>
        <v>48.972094113968581</v>
      </c>
      <c r="I148" s="412"/>
      <c r="J148" s="413"/>
      <c r="K148" s="303">
        <f t="shared" ref="K148:L159" si="19">C148*G148*$J$39*1.15/1000000*24*$P$38</f>
        <v>0</v>
      </c>
      <c r="L148" s="303">
        <f t="shared" si="19"/>
        <v>0</v>
      </c>
      <c r="M148" s="417"/>
      <c r="N148" s="418"/>
      <c r="O148" s="304">
        <f t="shared" si="18"/>
        <v>0</v>
      </c>
      <c r="P148" s="409"/>
      <c r="Q148" s="37"/>
    </row>
    <row r="149" spans="1:17" s="52" customFormat="1" outlineLevel="1" x14ac:dyDescent="0.25">
      <c r="A149" s="53">
        <v>250</v>
      </c>
      <c r="B149" s="53">
        <v>273</v>
      </c>
      <c r="C149" s="73">
        <v>0</v>
      </c>
      <c r="D149" s="73">
        <v>0</v>
      </c>
      <c r="E149" s="404"/>
      <c r="F149" s="405"/>
      <c r="G149" s="56">
        <f>((E18-C18)/(150-95)*('темп граф'!$C$6-95)+'норм втрати'!C18+('норм втрати'!F18-'норм втрати'!D18)/(150-95)*('темп граф'!$C$6-95)+'норм втрати'!D18)/1.163</f>
        <v>79.027593215039474</v>
      </c>
      <c r="H149" s="56">
        <f>G149*0.7</f>
        <v>55.31931525052763</v>
      </c>
      <c r="I149" s="412"/>
      <c r="J149" s="413"/>
      <c r="K149" s="303">
        <f t="shared" si="19"/>
        <v>0</v>
      </c>
      <c r="L149" s="303">
        <f t="shared" si="19"/>
        <v>0</v>
      </c>
      <c r="M149" s="417"/>
      <c r="N149" s="418"/>
      <c r="O149" s="304">
        <f t="shared" si="18"/>
        <v>0</v>
      </c>
      <c r="P149" s="409"/>
      <c r="Q149" s="37"/>
    </row>
    <row r="150" spans="1:17" s="52" customFormat="1" outlineLevel="1" x14ac:dyDescent="0.25">
      <c r="A150" s="53">
        <v>300</v>
      </c>
      <c r="B150" s="53">
        <v>325</v>
      </c>
      <c r="C150" s="73">
        <v>0</v>
      </c>
      <c r="D150" s="73">
        <v>0</v>
      </c>
      <c r="E150" s="404"/>
      <c r="F150" s="405"/>
      <c r="G150" s="56">
        <f>((E19-C19)/(150-95)*('темп граф'!$C$6-95)+'норм втрати'!C19+('норм втрати'!F19-'норм втрати'!D19)/(150-95)*('темп граф'!$C$6-95)+'норм втрати'!D19)/1.163</f>
        <v>90.361916673180644</v>
      </c>
      <c r="H150" s="56">
        <f>G150*0.7</f>
        <v>63.253341671226444</v>
      </c>
      <c r="I150" s="412"/>
      <c r="J150" s="413"/>
      <c r="K150" s="303">
        <f t="shared" si="19"/>
        <v>0</v>
      </c>
      <c r="L150" s="303">
        <f t="shared" si="19"/>
        <v>0</v>
      </c>
      <c r="M150" s="417"/>
      <c r="N150" s="418"/>
      <c r="O150" s="304">
        <f t="shared" si="18"/>
        <v>0</v>
      </c>
      <c r="P150" s="409"/>
      <c r="Q150" s="37"/>
    </row>
    <row r="151" spans="1:17" s="52" customFormat="1" outlineLevel="1" x14ac:dyDescent="0.25">
      <c r="A151" s="53">
        <v>350</v>
      </c>
      <c r="B151" s="53">
        <v>377</v>
      </c>
      <c r="C151" s="73">
        <v>0</v>
      </c>
      <c r="D151" s="73">
        <v>0</v>
      </c>
      <c r="E151" s="404"/>
      <c r="F151" s="405"/>
      <c r="G151" s="56">
        <f>((E20-C20)/(150-95)*('темп граф'!$C$6-95)+'норм втрати'!C20+('норм втрати'!F20-'норм втрати'!D20)/(150-95)*('темп граф'!$C$6-95)+'норм втрати'!D20)/1.163</f>
        <v>98.647697959821784</v>
      </c>
      <c r="H151" s="56">
        <f t="shared" ref="H151:H159" si="20">G151*0.8</f>
        <v>78.91815836785743</v>
      </c>
      <c r="I151" s="412"/>
      <c r="J151" s="413"/>
      <c r="K151" s="303">
        <f t="shared" si="19"/>
        <v>0</v>
      </c>
      <c r="L151" s="303">
        <f t="shared" si="19"/>
        <v>0</v>
      </c>
      <c r="M151" s="417"/>
      <c r="N151" s="418"/>
      <c r="O151" s="304">
        <f t="shared" si="18"/>
        <v>0</v>
      </c>
      <c r="P151" s="409"/>
      <c r="Q151" s="37"/>
    </row>
    <row r="152" spans="1:17" s="52" customFormat="1" outlineLevel="1" x14ac:dyDescent="0.25">
      <c r="A152" s="53">
        <v>400</v>
      </c>
      <c r="B152" s="53">
        <v>426</v>
      </c>
      <c r="C152" s="73">
        <v>0</v>
      </c>
      <c r="D152" s="73">
        <v>0</v>
      </c>
      <c r="E152" s="404"/>
      <c r="F152" s="405"/>
      <c r="G152" s="56">
        <f>((E21-C21)/(150-95)*('темп граф'!$C$6-95)+'норм втрати'!C21+('норм втрати'!F21-'норм втрати'!D21)/(150-95)*('темп граф'!$C$6-95)+'норм втрати'!D21)/1.163</f>
        <v>109.35667943406551</v>
      </c>
      <c r="H152" s="56">
        <f t="shared" si="20"/>
        <v>87.485343547252413</v>
      </c>
      <c r="I152" s="412"/>
      <c r="J152" s="413"/>
      <c r="K152" s="303">
        <f t="shared" si="19"/>
        <v>0</v>
      </c>
      <c r="L152" s="303">
        <f t="shared" si="19"/>
        <v>0</v>
      </c>
      <c r="M152" s="417"/>
      <c r="N152" s="418"/>
      <c r="O152" s="304">
        <f t="shared" si="18"/>
        <v>0</v>
      </c>
      <c r="P152" s="409"/>
      <c r="Q152" s="37"/>
    </row>
    <row r="153" spans="1:17" s="52" customFormat="1" outlineLevel="1" x14ac:dyDescent="0.25">
      <c r="A153" s="53">
        <v>450</v>
      </c>
      <c r="B153" s="53">
        <v>478</v>
      </c>
      <c r="C153" s="73">
        <v>0</v>
      </c>
      <c r="D153" s="73">
        <v>0</v>
      </c>
      <c r="E153" s="404"/>
      <c r="F153" s="405"/>
      <c r="G153" s="56">
        <f>((E22-C22)/(150-95)*('темп граф'!$C$6-95)+'норм втрати'!C22+('норм втрати'!F22-'норм втрати'!D22)/(150-95)*('темп граф'!$C$6-95)+'норм втрати'!D22)/1.163</f>
        <v>112.2488861095912</v>
      </c>
      <c r="H153" s="56">
        <f t="shared" si="20"/>
        <v>89.799108887672958</v>
      </c>
      <c r="I153" s="412"/>
      <c r="J153" s="413"/>
      <c r="K153" s="303">
        <f t="shared" si="19"/>
        <v>0</v>
      </c>
      <c r="L153" s="303">
        <f t="shared" si="19"/>
        <v>0</v>
      </c>
      <c r="M153" s="417"/>
      <c r="N153" s="418"/>
      <c r="O153" s="304">
        <f t="shared" si="18"/>
        <v>0</v>
      </c>
      <c r="P153" s="409"/>
      <c r="Q153" s="37"/>
    </row>
    <row r="154" spans="1:17" s="52" customFormat="1" outlineLevel="1" x14ac:dyDescent="0.25">
      <c r="A154" s="53">
        <v>500</v>
      </c>
      <c r="B154" s="53">
        <v>529</v>
      </c>
      <c r="C154" s="73">
        <v>0</v>
      </c>
      <c r="D154" s="73">
        <v>0</v>
      </c>
      <c r="E154" s="404"/>
      <c r="F154" s="405"/>
      <c r="G154" s="56">
        <f>((E23-C23)/(150-95)*('темп граф'!$C$6-95)+'норм втрати'!C23+('норм втрати'!F23-'норм втрати'!D23)/(150-95)*('темп граф'!$C$6-95)+'норм втрати'!D23)/1.163</f>
        <v>126.16274525130932</v>
      </c>
      <c r="H154" s="56">
        <f t="shared" si="20"/>
        <v>100.93019620104747</v>
      </c>
      <c r="I154" s="412"/>
      <c r="J154" s="413"/>
      <c r="K154" s="303">
        <f t="shared" si="19"/>
        <v>0</v>
      </c>
      <c r="L154" s="303">
        <f t="shared" si="19"/>
        <v>0</v>
      </c>
      <c r="M154" s="417"/>
      <c r="N154" s="418"/>
      <c r="O154" s="304">
        <f t="shared" si="18"/>
        <v>0</v>
      </c>
      <c r="P154" s="409"/>
      <c r="Q154" s="37"/>
    </row>
    <row r="155" spans="1:17" s="52" customFormat="1" outlineLevel="1" x14ac:dyDescent="0.25">
      <c r="A155" s="53">
        <v>600</v>
      </c>
      <c r="B155" s="53">
        <v>630</v>
      </c>
      <c r="C155" s="73">
        <v>0</v>
      </c>
      <c r="D155" s="73">
        <v>0</v>
      </c>
      <c r="E155" s="404"/>
      <c r="F155" s="405"/>
      <c r="G155" s="56">
        <f>((E24-C24)/(150-95)*('темп граф'!$C$6-95)+'норм втрати'!C24+('норм втрати'!F24-'норм втрати'!D24)/(150-95)*('темп граф'!$C$6-95)+'норм втрати'!D24)/1.163</f>
        <v>138.66958492925818</v>
      </c>
      <c r="H155" s="56">
        <f t="shared" si="20"/>
        <v>110.93566794340654</v>
      </c>
      <c r="I155" s="412"/>
      <c r="J155" s="413"/>
      <c r="K155" s="303">
        <f t="shared" si="19"/>
        <v>0</v>
      </c>
      <c r="L155" s="303">
        <f t="shared" si="19"/>
        <v>0</v>
      </c>
      <c r="M155" s="417"/>
      <c r="N155" s="418"/>
      <c r="O155" s="304">
        <f t="shared" si="18"/>
        <v>0</v>
      </c>
      <c r="P155" s="409"/>
      <c r="Q155" s="37"/>
    </row>
    <row r="156" spans="1:17" s="52" customFormat="1" outlineLevel="1" x14ac:dyDescent="0.25">
      <c r="A156" s="53">
        <v>700</v>
      </c>
      <c r="B156" s="53">
        <v>720</v>
      </c>
      <c r="C156" s="73">
        <v>0</v>
      </c>
      <c r="D156" s="73">
        <v>0</v>
      </c>
      <c r="E156" s="404"/>
      <c r="F156" s="405"/>
      <c r="G156" s="56">
        <f>((E25-C25)/(150-95)*('темп граф'!$C$6-95)+'норм втрати'!C25+('норм втрати'!F25-'норм втрати'!D25)/(150-95)*('темп граф'!$C$6-95)+'норм втрати'!D25)/1.163</f>
        <v>152.42710857500197</v>
      </c>
      <c r="H156" s="56">
        <f t="shared" si="20"/>
        <v>121.94168686000158</v>
      </c>
      <c r="I156" s="412"/>
      <c r="J156" s="413"/>
      <c r="K156" s="303">
        <f t="shared" si="19"/>
        <v>0</v>
      </c>
      <c r="L156" s="303">
        <f t="shared" si="19"/>
        <v>0</v>
      </c>
      <c r="M156" s="417"/>
      <c r="N156" s="418"/>
      <c r="O156" s="304">
        <f t="shared" si="18"/>
        <v>0</v>
      </c>
      <c r="P156" s="409"/>
      <c r="Q156" s="37"/>
    </row>
    <row r="157" spans="1:17" s="52" customFormat="1" outlineLevel="1" x14ac:dyDescent="0.25">
      <c r="A157" s="53">
        <v>800</v>
      </c>
      <c r="B157" s="53">
        <v>820</v>
      </c>
      <c r="C157" s="73">
        <v>0</v>
      </c>
      <c r="D157" s="73">
        <v>0</v>
      </c>
      <c r="E157" s="404"/>
      <c r="F157" s="405"/>
      <c r="G157" s="56">
        <f>((E26-C26)/(150-95)*('темп граф'!$C$6-95)+'норм втрати'!C26+('норм втрати'!F26-'норм втрати'!D26)/(150-95)*('темп граф'!$C$6-95)+'норм втрати'!D26)/1.163</f>
        <v>177.9097944188228</v>
      </c>
      <c r="H157" s="56">
        <f t="shared" si="20"/>
        <v>142.32783553505826</v>
      </c>
      <c r="I157" s="412"/>
      <c r="J157" s="413"/>
      <c r="K157" s="303">
        <f t="shared" si="19"/>
        <v>0</v>
      </c>
      <c r="L157" s="303">
        <f t="shared" si="19"/>
        <v>0</v>
      </c>
      <c r="M157" s="417"/>
      <c r="N157" s="418"/>
      <c r="O157" s="304">
        <f t="shared" si="18"/>
        <v>0</v>
      </c>
      <c r="P157" s="409"/>
      <c r="Q157" s="37"/>
    </row>
    <row r="158" spans="1:17" s="52" customFormat="1" outlineLevel="1" x14ac:dyDescent="0.25">
      <c r="A158" s="53">
        <v>900</v>
      </c>
      <c r="B158" s="53">
        <v>920</v>
      </c>
      <c r="C158" s="73">
        <v>0</v>
      </c>
      <c r="D158" s="73">
        <v>0</v>
      </c>
      <c r="E158" s="404"/>
      <c r="F158" s="405"/>
      <c r="G158" s="56">
        <f>((E27-C27)/(150-95)*('темп граф'!$C$6-95)+'норм втрати'!C27+('норм втрати'!F27-'норм втрати'!D27)/(150-95)*('темп граф'!$C$6-95)+'норм втрати'!D27)/1.163</f>
        <v>188.46244039709217</v>
      </c>
      <c r="H158" s="56">
        <f t="shared" si="20"/>
        <v>150.76995231767373</v>
      </c>
      <c r="I158" s="412"/>
      <c r="J158" s="413"/>
      <c r="K158" s="303">
        <f t="shared" si="19"/>
        <v>0</v>
      </c>
      <c r="L158" s="303">
        <f t="shared" si="19"/>
        <v>0</v>
      </c>
      <c r="M158" s="417"/>
      <c r="N158" s="418"/>
      <c r="O158" s="304">
        <f t="shared" si="18"/>
        <v>0</v>
      </c>
      <c r="P158" s="409"/>
      <c r="Q158" s="37"/>
    </row>
    <row r="159" spans="1:17" s="52" customFormat="1" outlineLevel="1" x14ac:dyDescent="0.25">
      <c r="A159" s="53">
        <v>1000</v>
      </c>
      <c r="B159" s="53">
        <v>1020</v>
      </c>
      <c r="C159" s="73">
        <v>0</v>
      </c>
      <c r="D159" s="73">
        <v>0</v>
      </c>
      <c r="E159" s="404"/>
      <c r="F159" s="405"/>
      <c r="G159" s="56">
        <f>((E28-C28)/(150-95)*('темп граф'!$C$6-95)+'норм втрати'!C28+('норм втрати'!F28-'норм втрати'!D28)/(150-95)*('темп граф'!$C$6-95)+'норм втрати'!D28)/1.163</f>
        <v>202.14179629484872</v>
      </c>
      <c r="H159" s="56">
        <f t="shared" si="20"/>
        <v>161.713437035879</v>
      </c>
      <c r="I159" s="412"/>
      <c r="J159" s="413"/>
      <c r="K159" s="303">
        <f t="shared" si="19"/>
        <v>0</v>
      </c>
      <c r="L159" s="303">
        <f t="shared" si="19"/>
        <v>0</v>
      </c>
      <c r="M159" s="417"/>
      <c r="N159" s="418"/>
      <c r="O159" s="304">
        <f t="shared" si="18"/>
        <v>0</v>
      </c>
      <c r="P159" s="409"/>
      <c r="Q159" s="37"/>
    </row>
    <row r="160" spans="1:17" s="30" customFormat="1" ht="45.75" customHeight="1" x14ac:dyDescent="0.25">
      <c r="A160" s="400" t="s">
        <v>50</v>
      </c>
      <c r="B160" s="401"/>
      <c r="C160" s="28">
        <f>SUM(C140:C159)</f>
        <v>4.5</v>
      </c>
      <c r="D160" s="28">
        <f>SUM(D140:D159)</f>
        <v>0</v>
      </c>
      <c r="E160" s="406"/>
      <c r="F160" s="407"/>
      <c r="G160" s="15">
        <f>IF(C160=0,0,SUMPRODUCT(C140:C159,G140:G159)/C160)</f>
        <v>33.377628390526063</v>
      </c>
      <c r="H160" s="15">
        <f>IF(D160=0,0,SUMPRODUCT(D140:D159,H140:H159)/D160)</f>
        <v>0</v>
      </c>
      <c r="I160" s="414"/>
      <c r="J160" s="415"/>
      <c r="K160" s="305">
        <f>SUM(K140:K159)</f>
        <v>0.8089134995700773</v>
      </c>
      <c r="L160" s="305">
        <f>SUM(L140:L159)</f>
        <v>0</v>
      </c>
      <c r="M160" s="419"/>
      <c r="N160" s="420"/>
      <c r="O160" s="306">
        <f>SUM(O140:O159)</f>
        <v>1.06029E-3</v>
      </c>
      <c r="P160" s="410"/>
      <c r="Q160" s="29"/>
    </row>
    <row r="161" spans="1:28" s="54" customFormat="1" ht="36" hidden="1" customHeight="1" x14ac:dyDescent="0.25">
      <c r="A161" s="429" t="s">
        <v>71</v>
      </c>
      <c r="B161" s="430"/>
      <c r="C161" s="430"/>
      <c r="D161" s="430"/>
      <c r="E161" s="430"/>
      <c r="F161" s="430"/>
      <c r="G161" s="430"/>
      <c r="H161" s="430"/>
      <c r="I161" s="430"/>
      <c r="J161" s="430"/>
      <c r="K161" s="430"/>
      <c r="L161" s="430"/>
      <c r="M161" s="430"/>
      <c r="N161" s="430"/>
      <c r="O161" s="430"/>
      <c r="P161" s="431"/>
      <c r="Q161" s="74"/>
    </row>
    <row r="162" spans="1:28" s="24" customFormat="1" ht="93" hidden="1" customHeight="1" x14ac:dyDescent="0.25">
      <c r="A162" s="24" t="s">
        <v>26</v>
      </c>
      <c r="B162" s="24" t="s">
        <v>27</v>
      </c>
      <c r="C162" s="24" t="s">
        <v>28</v>
      </c>
      <c r="D162" s="24" t="s">
        <v>29</v>
      </c>
      <c r="E162" s="421"/>
      <c r="F162" s="422"/>
      <c r="G162" s="24" t="s">
        <v>30</v>
      </c>
      <c r="H162" s="24" t="s">
        <v>31</v>
      </c>
      <c r="I162" s="423"/>
      <c r="J162" s="424"/>
      <c r="K162" s="307" t="s">
        <v>34</v>
      </c>
      <c r="L162" s="307" t="s">
        <v>35</v>
      </c>
      <c r="M162" s="425"/>
      <c r="N162" s="426"/>
      <c r="O162" s="308" t="s">
        <v>38</v>
      </c>
      <c r="P162" s="432"/>
      <c r="Q162" s="21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3"/>
    </row>
    <row r="163" spans="1:28" s="22" customFormat="1" ht="15.75" hidden="1" customHeight="1" x14ac:dyDescent="0.25">
      <c r="A163" s="25" t="s">
        <v>40</v>
      </c>
      <c r="B163" s="25" t="s">
        <v>40</v>
      </c>
      <c r="C163" s="25" t="s">
        <v>41</v>
      </c>
      <c r="D163" s="25" t="s">
        <v>41</v>
      </c>
      <c r="E163" s="404"/>
      <c r="F163" s="405"/>
      <c r="G163" s="25" t="s">
        <v>42</v>
      </c>
      <c r="H163" s="25" t="s">
        <v>42</v>
      </c>
      <c r="I163" s="412"/>
      <c r="J163" s="413"/>
      <c r="K163" s="301" t="s">
        <v>15</v>
      </c>
      <c r="L163" s="301" t="s">
        <v>15</v>
      </c>
      <c r="M163" s="417"/>
      <c r="N163" s="418"/>
      <c r="O163" s="302" t="s">
        <v>43</v>
      </c>
      <c r="P163" s="409"/>
      <c r="Q163" s="27"/>
    </row>
    <row r="164" spans="1:28" s="52" customFormat="1" hidden="1" outlineLevel="1" x14ac:dyDescent="0.25">
      <c r="A164" s="53">
        <v>25</v>
      </c>
      <c r="B164" s="53">
        <v>32</v>
      </c>
      <c r="C164" s="73">
        <v>0</v>
      </c>
      <c r="D164" s="73">
        <v>0</v>
      </c>
      <c r="E164" s="404"/>
      <c r="F164" s="405"/>
      <c r="G164" s="56">
        <f>((I9-G9)/(150-95)*('темп граф'!$C$6-95)+'норм втрати'!G9+('норм втрати'!J9-'норм втрати'!H9)/(150-95)*('темп граф'!$C$6-95)+'норм втрати'!H9)/1.163</f>
        <v>55.889939810834051</v>
      </c>
      <c r="H164" s="56">
        <f>G164*0.5</f>
        <v>27.944969905417025</v>
      </c>
      <c r="I164" s="412"/>
      <c r="J164" s="413"/>
      <c r="K164" s="303">
        <f>C164*G164*$J$39*1.15/1000000*24</f>
        <v>0</v>
      </c>
      <c r="L164" s="303">
        <f>D164*H164*$J$39*1.15/1000000*24</f>
        <v>0</v>
      </c>
      <c r="M164" s="417"/>
      <c r="N164" s="418"/>
      <c r="O164" s="304">
        <f>(C164+D164)*A164*A164/1000000/2*(3.1416*24*0.0025)</f>
        <v>0</v>
      </c>
      <c r="P164" s="409"/>
      <c r="Q164" s="37"/>
    </row>
    <row r="165" spans="1:28" s="52" customFormat="1" hidden="1" outlineLevel="1" x14ac:dyDescent="0.25">
      <c r="A165" s="53">
        <v>40</v>
      </c>
      <c r="B165" s="53">
        <v>45</v>
      </c>
      <c r="C165" s="73">
        <v>0</v>
      </c>
      <c r="D165" s="73">
        <v>0</v>
      </c>
      <c r="E165" s="404"/>
      <c r="F165" s="405"/>
      <c r="G165" s="56">
        <f>((I10-G10)/(150-95)*('темп граф'!$C$6-95)+'норм втрати'!G10+('норм втрати'!J10-'норм втрати'!H10)/(150-95)*('темп граф'!$C$6-95)+'норм втрати'!H10)/1.163</f>
        <v>62.573282263737987</v>
      </c>
      <c r="H165" s="56">
        <f>G165*0.5</f>
        <v>31.286641131868993</v>
      </c>
      <c r="I165" s="412"/>
      <c r="J165" s="413"/>
      <c r="K165" s="303">
        <f t="shared" ref="K165:K170" si="21">C165*G165*$J$39*1.15/1000000*24</f>
        <v>0</v>
      </c>
      <c r="L165" s="303">
        <f t="shared" ref="L165:L174" si="22">D165*H165*$J$39*1.15/1000000*24</f>
        <v>0</v>
      </c>
      <c r="M165" s="417"/>
      <c r="N165" s="418"/>
      <c r="O165" s="304">
        <f t="shared" ref="O165:O183" si="23">(C165+D165)*A165*A165/1000000/2*(3.1416*24*0.0025)</f>
        <v>0</v>
      </c>
      <c r="P165" s="409"/>
      <c r="Q165" s="37"/>
    </row>
    <row r="166" spans="1:28" s="52" customFormat="1" hidden="1" outlineLevel="1" x14ac:dyDescent="0.25">
      <c r="A166" s="53">
        <v>50</v>
      </c>
      <c r="B166" s="53">
        <v>57</v>
      </c>
      <c r="C166" s="73">
        <v>0</v>
      </c>
      <c r="D166" s="73">
        <v>0</v>
      </c>
      <c r="E166" s="404"/>
      <c r="F166" s="405"/>
      <c r="G166" s="56">
        <f>((I11-G11)/(150-95)*('темп граф'!$C$6-95)+'норм втрати'!G11+('норм втрати'!J11-'норм втрати'!H11)/(150-95)*('темп граф'!$C$6-95)+'норм втрати'!H11)/1.163</f>
        <v>69.256624716641895</v>
      </c>
      <c r="H166" s="56">
        <f>G166*0.5</f>
        <v>34.628312358320947</v>
      </c>
      <c r="I166" s="412"/>
      <c r="J166" s="413"/>
      <c r="K166" s="303">
        <f t="shared" si="21"/>
        <v>0</v>
      </c>
      <c r="L166" s="303">
        <f t="shared" si="22"/>
        <v>0</v>
      </c>
      <c r="M166" s="417"/>
      <c r="N166" s="418"/>
      <c r="O166" s="304">
        <f t="shared" si="23"/>
        <v>0</v>
      </c>
      <c r="P166" s="409"/>
      <c r="Q166" s="37"/>
    </row>
    <row r="167" spans="1:28" s="52" customFormat="1" hidden="1" outlineLevel="1" x14ac:dyDescent="0.25">
      <c r="A167" s="53">
        <v>65</v>
      </c>
      <c r="B167" s="53">
        <v>76</v>
      </c>
      <c r="C167" s="73">
        <v>0</v>
      </c>
      <c r="D167" s="73">
        <v>0</v>
      </c>
      <c r="E167" s="404"/>
      <c r="F167" s="405"/>
      <c r="G167" s="56">
        <f>((I12-G12)/(150-95)*('темп граф'!$C$6-95)+'норм втрати'!G12+('норм втрати'!J12-'норм втрати'!H12)/(150-95)*('темп граф'!$C$6-95)+'норм втрати'!H12)/1.163</f>
        <v>78.011412491206116</v>
      </c>
      <c r="H167" s="56">
        <f>G167*0.5</f>
        <v>39.005706245603058</v>
      </c>
      <c r="I167" s="412"/>
      <c r="J167" s="413"/>
      <c r="K167" s="303">
        <f t="shared" si="21"/>
        <v>0</v>
      </c>
      <c r="L167" s="303">
        <f t="shared" si="22"/>
        <v>0</v>
      </c>
      <c r="M167" s="417"/>
      <c r="N167" s="418"/>
      <c r="O167" s="304">
        <f t="shared" si="23"/>
        <v>0</v>
      </c>
      <c r="P167" s="409"/>
      <c r="Q167" s="37"/>
    </row>
    <row r="168" spans="1:28" s="52" customFormat="1" hidden="1" outlineLevel="1" x14ac:dyDescent="0.25">
      <c r="A168" s="53">
        <v>80</v>
      </c>
      <c r="B168" s="53">
        <v>89</v>
      </c>
      <c r="C168" s="73">
        <v>0</v>
      </c>
      <c r="D168" s="73">
        <v>0</v>
      </c>
      <c r="E168" s="404"/>
      <c r="F168" s="405"/>
      <c r="G168" s="56">
        <f>((I13-G13)/(150-95)*('темп граф'!$C$6-95)+'норм втрати'!G13+('норм втрати'!J13-'норм втрати'!H13)/(150-95)*('темп граф'!$C$6-95)+'норм втрати'!H13)/1.163</f>
        <v>79.887438442898457</v>
      </c>
      <c r="H168" s="56">
        <f>G168*0.6</f>
        <v>47.932463065739071</v>
      </c>
      <c r="I168" s="412"/>
      <c r="J168" s="413"/>
      <c r="K168" s="303">
        <f t="shared" si="21"/>
        <v>0</v>
      </c>
      <c r="L168" s="303">
        <f t="shared" si="22"/>
        <v>0</v>
      </c>
      <c r="M168" s="417"/>
      <c r="N168" s="418"/>
      <c r="O168" s="304">
        <f t="shared" si="23"/>
        <v>0</v>
      </c>
      <c r="P168" s="409"/>
      <c r="Q168" s="37"/>
    </row>
    <row r="169" spans="1:28" s="52" customFormat="1" hidden="1" outlineLevel="1" x14ac:dyDescent="0.25">
      <c r="A169" s="53">
        <v>100</v>
      </c>
      <c r="B169" s="53">
        <v>108</v>
      </c>
      <c r="C169" s="73">
        <v>0</v>
      </c>
      <c r="D169" s="73">
        <v>0</v>
      </c>
      <c r="E169" s="404"/>
      <c r="F169" s="405"/>
      <c r="G169" s="56">
        <f>((I14-G14)/(150-95)*('темп граф'!$C$6-95)+'норм втрати'!G14+('норм втрати'!J14-'норм втрати'!H14)/(150-95)*('темп граф'!$C$6-95)+'норм втрати'!H14)/1.163</f>
        <v>86.062690533885714</v>
      </c>
      <c r="H169" s="56">
        <f>G169*0.6</f>
        <v>51.63761432033143</v>
      </c>
      <c r="I169" s="412"/>
      <c r="J169" s="413"/>
      <c r="K169" s="303">
        <f t="shared" si="21"/>
        <v>0</v>
      </c>
      <c r="L169" s="303">
        <f t="shared" si="22"/>
        <v>0</v>
      </c>
      <c r="M169" s="417"/>
      <c r="N169" s="418"/>
      <c r="O169" s="304">
        <f t="shared" si="23"/>
        <v>0</v>
      </c>
      <c r="P169" s="409"/>
      <c r="Q169" s="37"/>
    </row>
    <row r="170" spans="1:28" s="52" customFormat="1" hidden="1" outlineLevel="1" x14ac:dyDescent="0.25">
      <c r="A170" s="53">
        <v>125</v>
      </c>
      <c r="B170" s="53">
        <v>133</v>
      </c>
      <c r="C170" s="73">
        <v>0</v>
      </c>
      <c r="D170" s="73">
        <v>0</v>
      </c>
      <c r="E170" s="404"/>
      <c r="F170" s="405"/>
      <c r="G170" s="56">
        <f>((I15-G15)/(150-95)*('темп граф'!$C$6-95)+'норм втрати'!G15+('норм втрати'!J15-'норм втрати'!H15)/(150-95)*('темп граф'!$C$6-95)+'норм втрати'!H15)/1.163</f>
        <v>94.817478308449935</v>
      </c>
      <c r="H170" s="56">
        <f>G170*0.6</f>
        <v>56.890486985069963</v>
      </c>
      <c r="I170" s="412"/>
      <c r="J170" s="413"/>
      <c r="K170" s="303">
        <f t="shared" si="21"/>
        <v>0</v>
      </c>
      <c r="L170" s="303">
        <f t="shared" si="22"/>
        <v>0</v>
      </c>
      <c r="M170" s="417"/>
      <c r="N170" s="418"/>
      <c r="O170" s="304">
        <f t="shared" si="23"/>
        <v>0</v>
      </c>
      <c r="P170" s="409"/>
      <c r="Q170" s="37"/>
    </row>
    <row r="171" spans="1:28" s="52" customFormat="1" hidden="1" outlineLevel="1" x14ac:dyDescent="0.25">
      <c r="A171" s="53">
        <v>150</v>
      </c>
      <c r="B171" s="53">
        <v>159</v>
      </c>
      <c r="C171" s="73">
        <v>0</v>
      </c>
      <c r="D171" s="73">
        <v>0</v>
      </c>
      <c r="E171" s="404"/>
      <c r="F171" s="405"/>
      <c r="G171" s="56">
        <f>((I16-G16)/(150-95)*('темп граф'!$C$6-95)+'норм втрати'!G16+('норм втрати'!J16-'норм втрати'!H16)/(150-95)*('темп граф'!$C$6-95)+'норм втрати'!H16)/1.163</f>
        <v>107.01164699445009</v>
      </c>
      <c r="H171" s="56">
        <f>G171*0.6</f>
        <v>64.206988196670054</v>
      </c>
      <c r="I171" s="412"/>
      <c r="J171" s="413"/>
      <c r="K171" s="303">
        <f t="shared" ref="K171:K183" si="24">C171*G171*$J$39*1.15/1000000*24</f>
        <v>0</v>
      </c>
      <c r="L171" s="303">
        <f t="shared" si="22"/>
        <v>0</v>
      </c>
      <c r="M171" s="417"/>
      <c r="N171" s="418"/>
      <c r="O171" s="304">
        <f t="shared" si="23"/>
        <v>0</v>
      </c>
      <c r="P171" s="409"/>
      <c r="Q171" s="37"/>
    </row>
    <row r="172" spans="1:28" s="52" customFormat="1" hidden="1" outlineLevel="1" x14ac:dyDescent="0.25">
      <c r="A172" s="53">
        <v>200</v>
      </c>
      <c r="B172" s="53">
        <v>219</v>
      </c>
      <c r="C172" s="73">
        <v>0</v>
      </c>
      <c r="D172" s="73">
        <v>0</v>
      </c>
      <c r="E172" s="404"/>
      <c r="F172" s="405"/>
      <c r="G172" s="56">
        <f>((I17-G17)/(150-95)*('темп граф'!$C$6-95)+'норм втрати'!G17+('норм втрати'!J17-'норм втрати'!H17)/(150-95)*('темп граф'!$C$6-95)+'норм втрати'!H17)/1.163</f>
        <v>119.90932541233485</v>
      </c>
      <c r="H172" s="56">
        <f>G172*0.7</f>
        <v>83.936527788634393</v>
      </c>
      <c r="I172" s="412"/>
      <c r="J172" s="413"/>
      <c r="K172" s="303">
        <f t="shared" si="24"/>
        <v>0</v>
      </c>
      <c r="L172" s="303">
        <f>D172*H172*$J$39*1.15/1000000*24</f>
        <v>0</v>
      </c>
      <c r="M172" s="417"/>
      <c r="N172" s="418"/>
      <c r="O172" s="304">
        <f t="shared" si="23"/>
        <v>0</v>
      </c>
      <c r="P172" s="409"/>
      <c r="Q172" s="37"/>
    </row>
    <row r="173" spans="1:28" s="52" customFormat="1" hidden="1" outlineLevel="1" x14ac:dyDescent="0.25">
      <c r="A173" s="53">
        <v>250</v>
      </c>
      <c r="B173" s="53">
        <v>273</v>
      </c>
      <c r="C173" s="73">
        <v>0</v>
      </c>
      <c r="D173" s="73">
        <v>0</v>
      </c>
      <c r="E173" s="404"/>
      <c r="F173" s="405"/>
      <c r="G173" s="56">
        <f>((I18-G18)/(150-95)*('темп граф'!$C$6-95)+'норм втрати'!G18+('норм втрати'!J18-'норм втрати'!H18)/(150-95)*('темп граф'!$C$6-95)+'норм втрати'!H18)/1.163</f>
        <v>129.28945517079654</v>
      </c>
      <c r="H173" s="56">
        <f>G173*0.7</f>
        <v>90.50261861955758</v>
      </c>
      <c r="I173" s="412"/>
      <c r="J173" s="413"/>
      <c r="K173" s="303">
        <f t="shared" si="24"/>
        <v>0</v>
      </c>
      <c r="L173" s="303">
        <f t="shared" si="22"/>
        <v>0</v>
      </c>
      <c r="M173" s="417"/>
      <c r="N173" s="418"/>
      <c r="O173" s="304">
        <f t="shared" si="23"/>
        <v>0</v>
      </c>
      <c r="P173" s="409"/>
      <c r="Q173" s="37"/>
    </row>
    <row r="174" spans="1:28" s="52" customFormat="1" hidden="1" outlineLevel="1" x14ac:dyDescent="0.25">
      <c r="A174" s="53">
        <v>300</v>
      </c>
      <c r="B174" s="53">
        <v>325</v>
      </c>
      <c r="C174" s="73">
        <v>0</v>
      </c>
      <c r="D174" s="73">
        <v>0</v>
      </c>
      <c r="E174" s="404"/>
      <c r="F174" s="405"/>
      <c r="G174" s="56">
        <f>((I19-G19)/(150-95)*('темп граф'!$C$6-95)+'норм втрати'!G19+('норм втрати'!J19-'норм втрати'!H19)/(150-95)*('темп граф'!$C$6-95)+'норм втрати'!H19)/1.163</f>
        <v>141.63995935277106</v>
      </c>
      <c r="H174" s="56">
        <f>G174*0.7</f>
        <v>99.147971546939729</v>
      </c>
      <c r="I174" s="412"/>
      <c r="J174" s="413"/>
      <c r="K174" s="303">
        <f t="shared" si="24"/>
        <v>0</v>
      </c>
      <c r="L174" s="303">
        <f t="shared" si="22"/>
        <v>0</v>
      </c>
      <c r="M174" s="417"/>
      <c r="N174" s="418"/>
      <c r="O174" s="304">
        <f t="shared" si="23"/>
        <v>0</v>
      </c>
      <c r="P174" s="409"/>
      <c r="Q174" s="37"/>
    </row>
    <row r="175" spans="1:28" s="52" customFormat="1" hidden="1" outlineLevel="1" x14ac:dyDescent="0.25">
      <c r="A175" s="53">
        <v>350</v>
      </c>
      <c r="B175" s="53">
        <v>377</v>
      </c>
      <c r="C175" s="73">
        <v>0</v>
      </c>
      <c r="D175" s="73">
        <v>0</v>
      </c>
      <c r="E175" s="404"/>
      <c r="F175" s="405"/>
      <c r="G175" s="56">
        <f>((I20-G20)/(150-95)*('темп граф'!$C$6-95)+'норм втрати'!G20+('норм втрати'!J20-'норм втрати'!H20)/(150-95)*('темп граф'!$C$6-95)+'норм втрати'!H20)/1.163</f>
        <v>155.39748299851479</v>
      </c>
      <c r="H175" s="56">
        <f t="shared" ref="H175:H183" si="25">G175*0.8</f>
        <v>124.31798639881184</v>
      </c>
      <c r="I175" s="412"/>
      <c r="J175" s="413"/>
      <c r="K175" s="303">
        <f t="shared" si="24"/>
        <v>0</v>
      </c>
      <c r="L175" s="303">
        <f t="shared" ref="L175:L183" si="26">D175*H175*$J$39*1.15/1000000*24</f>
        <v>0</v>
      </c>
      <c r="M175" s="417"/>
      <c r="N175" s="418"/>
      <c r="O175" s="304">
        <f t="shared" si="23"/>
        <v>0</v>
      </c>
      <c r="P175" s="409"/>
      <c r="Q175" s="37"/>
    </row>
    <row r="176" spans="1:28" s="52" customFormat="1" hidden="1" outlineLevel="1" x14ac:dyDescent="0.25">
      <c r="A176" s="53">
        <v>400</v>
      </c>
      <c r="B176" s="53">
        <v>426</v>
      </c>
      <c r="C176" s="73">
        <v>0</v>
      </c>
      <c r="D176" s="73">
        <v>0</v>
      </c>
      <c r="E176" s="404"/>
      <c r="F176" s="405"/>
      <c r="G176" s="56">
        <f>((I21-G21)/(150-95)*('темп граф'!$C$6-95)+'норм втрати'!G21+('норм втрати'!J21-'норм втрати'!H21)/(150-95)*('темп граф'!$C$6-95)+'норм втрати'!H21)/1.163</f>
        <v>165.55929023684828</v>
      </c>
      <c r="H176" s="56">
        <f t="shared" si="25"/>
        <v>132.44743218947863</v>
      </c>
      <c r="I176" s="412"/>
      <c r="J176" s="413"/>
      <c r="K176" s="303">
        <f t="shared" si="24"/>
        <v>0</v>
      </c>
      <c r="L176" s="303">
        <f t="shared" si="26"/>
        <v>0</v>
      </c>
      <c r="M176" s="417"/>
      <c r="N176" s="418"/>
      <c r="O176" s="304">
        <f t="shared" si="23"/>
        <v>0</v>
      </c>
      <c r="P176" s="409"/>
      <c r="Q176" s="37"/>
    </row>
    <row r="177" spans="1:28" s="52" customFormat="1" hidden="1" outlineLevel="1" x14ac:dyDescent="0.25">
      <c r="A177" s="53">
        <v>450</v>
      </c>
      <c r="B177" s="53">
        <v>478</v>
      </c>
      <c r="C177" s="73">
        <v>0</v>
      </c>
      <c r="D177" s="73">
        <v>0</v>
      </c>
      <c r="E177" s="404"/>
      <c r="F177" s="405"/>
      <c r="G177" s="56">
        <f>((I22-G22)/(150-95)*('темп граф'!$C$6-95)+'норм втрати'!G22+('норм втрати'!J22-'норм втрати'!H22)/(150-95)*('темп граф'!$C$6-95)+'норм втрати'!H22)/1.163</f>
        <v>177.9097944188228</v>
      </c>
      <c r="H177" s="56">
        <f t="shared" si="25"/>
        <v>142.32783553505826</v>
      </c>
      <c r="I177" s="412"/>
      <c r="J177" s="413"/>
      <c r="K177" s="303">
        <f t="shared" si="24"/>
        <v>0</v>
      </c>
      <c r="L177" s="303">
        <f t="shared" si="26"/>
        <v>0</v>
      </c>
      <c r="M177" s="417"/>
      <c r="N177" s="418"/>
      <c r="O177" s="304">
        <f t="shared" si="23"/>
        <v>0</v>
      </c>
      <c r="P177" s="409"/>
      <c r="Q177" s="37"/>
    </row>
    <row r="178" spans="1:28" s="52" customFormat="1" hidden="1" outlineLevel="1" x14ac:dyDescent="0.25">
      <c r="A178" s="53">
        <v>500</v>
      </c>
      <c r="B178" s="53">
        <v>529</v>
      </c>
      <c r="C178" s="73">
        <v>0</v>
      </c>
      <c r="D178" s="73">
        <v>0</v>
      </c>
      <c r="E178" s="404"/>
      <c r="F178" s="405"/>
      <c r="G178" s="56">
        <f>((I23-G23)/(150-95)*('темп граф'!$C$6-95)+'норм втрати'!G23+('норм втрати'!J23-'норм втрати'!H23)/(150-95)*('темп граф'!$C$6-95)+'норм втрати'!H23)/1.163</f>
        <v>189.0096146330024</v>
      </c>
      <c r="H178" s="56">
        <f t="shared" si="25"/>
        <v>151.20769170640193</v>
      </c>
      <c r="I178" s="412"/>
      <c r="J178" s="413"/>
      <c r="K178" s="303">
        <f t="shared" si="24"/>
        <v>0</v>
      </c>
      <c r="L178" s="303">
        <f t="shared" si="26"/>
        <v>0</v>
      </c>
      <c r="M178" s="417"/>
      <c r="N178" s="418"/>
      <c r="O178" s="304">
        <f t="shared" si="23"/>
        <v>0</v>
      </c>
      <c r="P178" s="409"/>
      <c r="Q178" s="37"/>
    </row>
    <row r="179" spans="1:28" s="52" customFormat="1" hidden="1" outlineLevel="1" x14ac:dyDescent="0.25">
      <c r="A179" s="53">
        <v>600</v>
      </c>
      <c r="B179" s="53">
        <v>630</v>
      </c>
      <c r="C179" s="73">
        <v>0</v>
      </c>
      <c r="D179" s="73">
        <v>0</v>
      </c>
      <c r="E179" s="404"/>
      <c r="F179" s="405"/>
      <c r="G179" s="56">
        <f>((I24-G24)/(150-95)*('темп граф'!$C$6-95)+'норм втрати'!G24+('норм втрати'!J24-'норм втрати'!H24)/(150-95)*('темп граф'!$C$6-95)+'норм втрати'!H24)/1.163</f>
        <v>214.72680372078483</v>
      </c>
      <c r="H179" s="56">
        <f t="shared" si="25"/>
        <v>171.78144297662789</v>
      </c>
      <c r="I179" s="412"/>
      <c r="J179" s="413"/>
      <c r="K179" s="303">
        <f t="shared" si="24"/>
        <v>0</v>
      </c>
      <c r="L179" s="303">
        <f t="shared" si="26"/>
        <v>0</v>
      </c>
      <c r="M179" s="417"/>
      <c r="N179" s="418"/>
      <c r="O179" s="304">
        <f t="shared" si="23"/>
        <v>0</v>
      </c>
      <c r="P179" s="409"/>
      <c r="Q179" s="37"/>
    </row>
    <row r="180" spans="1:28" s="52" customFormat="1" hidden="1" outlineLevel="1" x14ac:dyDescent="0.25">
      <c r="A180" s="53">
        <v>700</v>
      </c>
      <c r="B180" s="53">
        <v>720</v>
      </c>
      <c r="C180" s="73">
        <v>0</v>
      </c>
      <c r="D180" s="73">
        <v>0</v>
      </c>
      <c r="E180" s="404"/>
      <c r="F180" s="405"/>
      <c r="G180" s="56">
        <f>((I25-G25)/(150-95)*('темп граф'!$C$6-95)+'норм втрати'!G25+('норм втрати'!J25-'норм втрати'!H25)/(150-95)*('темп граф'!$C$6-95)+'норм втрати'!H25)/1.163</f>
        <v>235.91026342531072</v>
      </c>
      <c r="H180" s="56">
        <f t="shared" si="25"/>
        <v>188.72821074024858</v>
      </c>
      <c r="I180" s="412"/>
      <c r="J180" s="413"/>
      <c r="K180" s="303">
        <f t="shared" si="24"/>
        <v>0</v>
      </c>
      <c r="L180" s="303">
        <f t="shared" si="26"/>
        <v>0</v>
      </c>
      <c r="M180" s="417"/>
      <c r="N180" s="418"/>
      <c r="O180" s="304">
        <f t="shared" si="23"/>
        <v>0</v>
      </c>
      <c r="P180" s="409"/>
      <c r="Q180" s="37"/>
    </row>
    <row r="181" spans="1:28" s="52" customFormat="1" hidden="1" outlineLevel="1" x14ac:dyDescent="0.25">
      <c r="A181" s="53">
        <v>800</v>
      </c>
      <c r="B181" s="53">
        <v>820</v>
      </c>
      <c r="C181" s="73">
        <v>0</v>
      </c>
      <c r="D181" s="73">
        <v>0</v>
      </c>
      <c r="E181" s="404"/>
      <c r="F181" s="405"/>
      <c r="G181" s="56">
        <f>((I26-G26)/(150-95)*('темп граф'!$C$6-95)+'норм втрати'!G26+('норм втрати'!J26-'норм втрати'!H26)/(150-95)*('темп граф'!$C$6-95)+'норм втрати'!H26)/1.163</f>
        <v>257.09372312983663</v>
      </c>
      <c r="H181" s="56">
        <f t="shared" si="25"/>
        <v>205.67497850386931</v>
      </c>
      <c r="I181" s="412"/>
      <c r="J181" s="413"/>
      <c r="K181" s="303">
        <f t="shared" si="24"/>
        <v>0</v>
      </c>
      <c r="L181" s="303">
        <f t="shared" si="26"/>
        <v>0</v>
      </c>
      <c r="M181" s="417"/>
      <c r="N181" s="418"/>
      <c r="O181" s="304">
        <f t="shared" si="23"/>
        <v>0</v>
      </c>
      <c r="P181" s="409"/>
      <c r="Q181" s="37"/>
    </row>
    <row r="182" spans="1:28" s="52" customFormat="1" hidden="1" outlineLevel="1" x14ac:dyDescent="0.25">
      <c r="A182" s="53">
        <v>900</v>
      </c>
      <c r="B182" s="53">
        <v>920</v>
      </c>
      <c r="C182" s="73">
        <v>0</v>
      </c>
      <c r="D182" s="73">
        <v>0</v>
      </c>
      <c r="E182" s="404"/>
      <c r="F182" s="405"/>
      <c r="G182" s="56"/>
      <c r="H182" s="56">
        <f t="shared" si="25"/>
        <v>0</v>
      </c>
      <c r="I182" s="412"/>
      <c r="J182" s="413"/>
      <c r="K182" s="303">
        <f t="shared" si="24"/>
        <v>0</v>
      </c>
      <c r="L182" s="303">
        <f t="shared" si="26"/>
        <v>0</v>
      </c>
      <c r="M182" s="417"/>
      <c r="N182" s="418"/>
      <c r="O182" s="304">
        <f t="shared" si="23"/>
        <v>0</v>
      </c>
      <c r="P182" s="409"/>
      <c r="Q182" s="37"/>
    </row>
    <row r="183" spans="1:28" s="52" customFormat="1" hidden="1" outlineLevel="1" x14ac:dyDescent="0.25">
      <c r="A183" s="53">
        <v>1000</v>
      </c>
      <c r="B183" s="53">
        <v>1020</v>
      </c>
      <c r="C183" s="73">
        <v>0</v>
      </c>
      <c r="D183" s="73">
        <v>0</v>
      </c>
      <c r="E183" s="404"/>
      <c r="F183" s="405"/>
      <c r="G183" s="56"/>
      <c r="H183" s="56">
        <f t="shared" si="25"/>
        <v>0</v>
      </c>
      <c r="I183" s="412"/>
      <c r="J183" s="413"/>
      <c r="K183" s="303">
        <f t="shared" si="24"/>
        <v>0</v>
      </c>
      <c r="L183" s="303">
        <f t="shared" si="26"/>
        <v>0</v>
      </c>
      <c r="M183" s="417"/>
      <c r="N183" s="418"/>
      <c r="O183" s="304">
        <f t="shared" si="23"/>
        <v>0</v>
      </c>
      <c r="P183" s="409"/>
      <c r="Q183" s="37"/>
    </row>
    <row r="184" spans="1:28" s="30" customFormat="1" ht="57" hidden="1" customHeight="1" x14ac:dyDescent="0.25">
      <c r="A184" s="400" t="s">
        <v>51</v>
      </c>
      <c r="B184" s="401"/>
      <c r="C184" s="28">
        <f>SUM(C164:C183)</f>
        <v>0</v>
      </c>
      <c r="D184" s="28">
        <f>SUM(D164:D183)</f>
        <v>0</v>
      </c>
      <c r="E184" s="406"/>
      <c r="F184" s="407"/>
      <c r="G184" s="15">
        <f>IF(C184=0,0,SUMPRODUCT(C164:C183,G164:G183)/C184)</f>
        <v>0</v>
      </c>
      <c r="H184" s="15">
        <f>IF(D184=0,0,SUMPRODUCT(D164:D183,H164:H183)/D184)</f>
        <v>0</v>
      </c>
      <c r="I184" s="414"/>
      <c r="J184" s="415"/>
      <c r="K184" s="305">
        <f>SUM(K164:K183)</f>
        <v>0</v>
      </c>
      <c r="L184" s="305">
        <f>SUM(L164:L183)</f>
        <v>0</v>
      </c>
      <c r="M184" s="419"/>
      <c r="N184" s="420"/>
      <c r="O184" s="306">
        <f>SUM(O164:O183)</f>
        <v>0</v>
      </c>
      <c r="P184" s="410"/>
      <c r="Q184" s="29"/>
    </row>
    <row r="185" spans="1:28" s="54" customFormat="1" ht="33.75" hidden="1" customHeight="1" x14ac:dyDescent="0.25">
      <c r="A185" s="429" t="s">
        <v>70</v>
      </c>
      <c r="B185" s="430"/>
      <c r="C185" s="430"/>
      <c r="D185" s="430"/>
      <c r="E185" s="430"/>
      <c r="F185" s="430"/>
      <c r="G185" s="430"/>
      <c r="H185" s="430"/>
      <c r="I185" s="430"/>
      <c r="J185" s="430"/>
      <c r="K185" s="430"/>
      <c r="L185" s="430"/>
      <c r="M185" s="430"/>
      <c r="N185" s="430"/>
      <c r="O185" s="430"/>
      <c r="P185" s="431"/>
      <c r="Q185" s="74"/>
    </row>
    <row r="186" spans="1:28" s="24" customFormat="1" ht="96" hidden="1" customHeight="1" x14ac:dyDescent="0.25">
      <c r="A186" s="24" t="s">
        <v>26</v>
      </c>
      <c r="B186" s="24" t="s">
        <v>27</v>
      </c>
      <c r="C186" s="24" t="s">
        <v>28</v>
      </c>
      <c r="D186" s="24" t="s">
        <v>29</v>
      </c>
      <c r="E186" s="423"/>
      <c r="F186" s="424"/>
      <c r="G186" s="24" t="s">
        <v>30</v>
      </c>
      <c r="H186" s="24" t="s">
        <v>31</v>
      </c>
      <c r="I186" s="423"/>
      <c r="J186" s="424"/>
      <c r="K186" s="307" t="s">
        <v>34</v>
      </c>
      <c r="L186" s="307" t="s">
        <v>35</v>
      </c>
      <c r="M186" s="425"/>
      <c r="N186" s="426"/>
      <c r="O186" s="308" t="s">
        <v>38</v>
      </c>
      <c r="P186" s="432"/>
      <c r="Q186" s="21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3"/>
    </row>
    <row r="187" spans="1:28" s="22" customFormat="1" ht="15.75" hidden="1" customHeight="1" x14ac:dyDescent="0.25">
      <c r="A187" s="25" t="s">
        <v>40</v>
      </c>
      <c r="B187" s="25" t="s">
        <v>40</v>
      </c>
      <c r="C187" s="25" t="s">
        <v>41</v>
      </c>
      <c r="D187" s="25" t="s">
        <v>41</v>
      </c>
      <c r="E187" s="412"/>
      <c r="F187" s="413"/>
      <c r="G187" s="25" t="s">
        <v>42</v>
      </c>
      <c r="H187" s="25" t="s">
        <v>42</v>
      </c>
      <c r="I187" s="412"/>
      <c r="J187" s="413"/>
      <c r="K187" s="301" t="s">
        <v>15</v>
      </c>
      <c r="L187" s="301" t="s">
        <v>15</v>
      </c>
      <c r="M187" s="417"/>
      <c r="N187" s="418"/>
      <c r="O187" s="302" t="s">
        <v>43</v>
      </c>
      <c r="P187" s="409"/>
      <c r="Q187" s="27"/>
    </row>
    <row r="188" spans="1:28" s="52" customFormat="1" hidden="1" outlineLevel="1" x14ac:dyDescent="0.25">
      <c r="A188" s="53">
        <v>25</v>
      </c>
      <c r="B188" s="53">
        <v>32</v>
      </c>
      <c r="C188" s="73">
        <v>0</v>
      </c>
      <c r="D188" s="73">
        <v>0</v>
      </c>
      <c r="E188" s="412"/>
      <c r="F188" s="413"/>
      <c r="G188" s="56">
        <f>(IF($J$32-$J$37&gt;$L$8,L9+(M9-L9)*($J$32-$J$37-$L$8)/($M$8-$L$8),K9+(L9-K9)*($J$32-$J$37-$K$8)/($L$8-$K$8)))/1.163</f>
        <v>15.776338913662858</v>
      </c>
      <c r="H188" s="56">
        <f>G188*0.5</f>
        <v>7.8881694568314291</v>
      </c>
      <c r="I188" s="412"/>
      <c r="J188" s="413"/>
      <c r="K188" s="303">
        <f t="shared" ref="K188:L194" si="27">C188*G188*$J$39*1.2/1000000*24*$P$39</f>
        <v>0</v>
      </c>
      <c r="L188" s="303">
        <f t="shared" si="27"/>
        <v>0</v>
      </c>
      <c r="M188" s="417"/>
      <c r="N188" s="418"/>
      <c r="O188" s="304">
        <f>(C188+D188)*A188*A188/1000000/4*(3.1416*24*0.0025)</f>
        <v>0</v>
      </c>
      <c r="P188" s="409"/>
      <c r="Q188" s="37"/>
    </row>
    <row r="189" spans="1:28" s="52" customFormat="1" hidden="1" outlineLevel="1" x14ac:dyDescent="0.25">
      <c r="A189" s="53">
        <v>40</v>
      </c>
      <c r="B189" s="53">
        <v>45</v>
      </c>
      <c r="C189" s="73">
        <v>0</v>
      </c>
      <c r="D189" s="73">
        <v>0</v>
      </c>
      <c r="E189" s="412"/>
      <c r="F189" s="413"/>
      <c r="G189" s="56">
        <f t="shared" ref="G189:G207" si="28">(IF($J$32-$J$37&gt;$L$8,L10+(M10-L10)*($J$32-$J$37-$L$8)/($M$8-$L$8),K10+(L10-K10)*($J$32-$J$37-$K$8)/($L$8-$K$8)))/1.163</f>
        <v>18.798745442744135</v>
      </c>
      <c r="H189" s="56">
        <f>G189*0.5</f>
        <v>9.3993727213720675</v>
      </c>
      <c r="I189" s="412"/>
      <c r="J189" s="413"/>
      <c r="K189" s="303">
        <f t="shared" si="27"/>
        <v>0</v>
      </c>
      <c r="L189" s="303">
        <f t="shared" si="27"/>
        <v>0</v>
      </c>
      <c r="M189" s="417"/>
      <c r="N189" s="418"/>
      <c r="O189" s="304">
        <f t="shared" ref="O189:O207" si="29">(C189+D189)*A189*A189/1000000/4*(3.1416*24*0.0025)</f>
        <v>0</v>
      </c>
      <c r="P189" s="409"/>
      <c r="Q189" s="37"/>
    </row>
    <row r="190" spans="1:28" s="52" customFormat="1" hidden="1" outlineLevel="1" x14ac:dyDescent="0.25">
      <c r="A190" s="53">
        <v>50</v>
      </c>
      <c r="B190" s="53">
        <v>57</v>
      </c>
      <c r="C190" s="73">
        <v>0</v>
      </c>
      <c r="D190" s="73">
        <v>0</v>
      </c>
      <c r="E190" s="412"/>
      <c r="F190" s="413"/>
      <c r="G190" s="56">
        <f t="shared" si="28"/>
        <v>20.765767784363923</v>
      </c>
      <c r="H190" s="56">
        <f>G190*0.5</f>
        <v>10.382883892181962</v>
      </c>
      <c r="I190" s="412"/>
      <c r="J190" s="413"/>
      <c r="K190" s="303">
        <f t="shared" si="27"/>
        <v>0</v>
      </c>
      <c r="L190" s="303">
        <f t="shared" si="27"/>
        <v>0</v>
      </c>
      <c r="M190" s="417"/>
      <c r="N190" s="418"/>
      <c r="O190" s="304">
        <f t="shared" si="29"/>
        <v>0</v>
      </c>
      <c r="P190" s="409"/>
      <c r="Q190" s="37"/>
    </row>
    <row r="191" spans="1:28" s="52" customFormat="1" hidden="1" outlineLevel="1" x14ac:dyDescent="0.25">
      <c r="A191" s="53">
        <v>65</v>
      </c>
      <c r="B191" s="53">
        <v>76</v>
      </c>
      <c r="C191" s="73">
        <v>0</v>
      </c>
      <c r="D191" s="73">
        <v>0</v>
      </c>
      <c r="E191" s="412"/>
      <c r="F191" s="413"/>
      <c r="G191" s="56">
        <f t="shared" si="28"/>
        <v>23.762277850295543</v>
      </c>
      <c r="H191" s="56">
        <f>G191*0.5</f>
        <v>11.881138925147772</v>
      </c>
      <c r="I191" s="412"/>
      <c r="J191" s="413"/>
      <c r="K191" s="303">
        <f t="shared" si="27"/>
        <v>0</v>
      </c>
      <c r="L191" s="303">
        <f t="shared" si="27"/>
        <v>0</v>
      </c>
      <c r="M191" s="417"/>
      <c r="N191" s="418"/>
      <c r="O191" s="304">
        <f t="shared" si="29"/>
        <v>0</v>
      </c>
      <c r="P191" s="409"/>
      <c r="Q191" s="37"/>
    </row>
    <row r="192" spans="1:28" s="52" customFormat="1" hidden="1" outlineLevel="1" x14ac:dyDescent="0.25">
      <c r="A192" s="53">
        <v>80</v>
      </c>
      <c r="B192" s="53">
        <v>89</v>
      </c>
      <c r="C192" s="73">
        <v>0</v>
      </c>
      <c r="D192" s="73">
        <v>0</v>
      </c>
      <c r="E192" s="412"/>
      <c r="F192" s="413"/>
      <c r="G192" s="56">
        <f t="shared" si="28"/>
        <v>25.924839151517833</v>
      </c>
      <c r="H192" s="56">
        <f>G192*0.6</f>
        <v>15.5549034909107</v>
      </c>
      <c r="I192" s="412"/>
      <c r="J192" s="413"/>
      <c r="K192" s="303">
        <f t="shared" si="27"/>
        <v>0</v>
      </c>
      <c r="L192" s="303">
        <f t="shared" si="27"/>
        <v>0</v>
      </c>
      <c r="M192" s="417"/>
      <c r="N192" s="418"/>
      <c r="O192" s="304">
        <f t="shared" si="29"/>
        <v>0</v>
      </c>
      <c r="P192" s="409"/>
      <c r="Q192" s="37"/>
    </row>
    <row r="193" spans="1:17" s="52" customFormat="1" hidden="1" outlineLevel="1" x14ac:dyDescent="0.25">
      <c r="A193" s="53">
        <v>100</v>
      </c>
      <c r="B193" s="53">
        <v>108</v>
      </c>
      <c r="C193" s="73">
        <v>0</v>
      </c>
      <c r="D193" s="73">
        <v>0</v>
      </c>
      <c r="E193" s="412"/>
      <c r="F193" s="413"/>
      <c r="G193" s="56">
        <f t="shared" si="28"/>
        <v>28.947245680599107</v>
      </c>
      <c r="H193" s="56">
        <f>G193*0.6</f>
        <v>17.368347408359462</v>
      </c>
      <c r="I193" s="412"/>
      <c r="J193" s="413"/>
      <c r="K193" s="303">
        <f t="shared" si="27"/>
        <v>0</v>
      </c>
      <c r="L193" s="303">
        <f t="shared" si="27"/>
        <v>0</v>
      </c>
      <c r="M193" s="417"/>
      <c r="N193" s="418"/>
      <c r="O193" s="304">
        <f t="shared" si="29"/>
        <v>0</v>
      </c>
      <c r="P193" s="409"/>
      <c r="Q193" s="37"/>
    </row>
    <row r="194" spans="1:17" s="52" customFormat="1" hidden="1" outlineLevel="1" x14ac:dyDescent="0.25">
      <c r="A194" s="53">
        <v>125</v>
      </c>
      <c r="B194" s="53">
        <v>133</v>
      </c>
      <c r="C194" s="73">
        <v>0</v>
      </c>
      <c r="D194" s="73">
        <v>0</v>
      </c>
      <c r="E194" s="412"/>
      <c r="F194" s="413"/>
      <c r="G194" s="56">
        <f t="shared" si="28"/>
        <v>32.608062014787208</v>
      </c>
      <c r="H194" s="56">
        <f>G194*0.6</f>
        <v>19.564837208872323</v>
      </c>
      <c r="I194" s="412"/>
      <c r="J194" s="413"/>
      <c r="K194" s="303">
        <f t="shared" si="27"/>
        <v>0</v>
      </c>
      <c r="L194" s="303">
        <f t="shared" si="27"/>
        <v>0</v>
      </c>
      <c r="M194" s="417"/>
      <c r="N194" s="418"/>
      <c r="O194" s="304">
        <f t="shared" si="29"/>
        <v>0</v>
      </c>
      <c r="P194" s="409"/>
      <c r="Q194" s="37"/>
    </row>
    <row r="195" spans="1:17" s="52" customFormat="1" hidden="1" outlineLevel="1" x14ac:dyDescent="0.25">
      <c r="A195" s="53">
        <v>150</v>
      </c>
      <c r="B195" s="53">
        <v>159</v>
      </c>
      <c r="C195" s="73">
        <v>0</v>
      </c>
      <c r="D195" s="73">
        <v>0</v>
      </c>
      <c r="E195" s="412"/>
      <c r="F195" s="413"/>
      <c r="G195" s="56">
        <f t="shared" si="28"/>
        <v>36.294774812124963</v>
      </c>
      <c r="H195" s="56">
        <f>G195*0.6</f>
        <v>21.776864887274979</v>
      </c>
      <c r="I195" s="412"/>
      <c r="J195" s="413"/>
      <c r="K195" s="303">
        <f>C195*G195*$J$39*1.15/1000000*24*$P$39</f>
        <v>0</v>
      </c>
      <c r="L195" s="303">
        <f>D195*H195*$J$39*1.15/1000000*24*$P$39</f>
        <v>0</v>
      </c>
      <c r="M195" s="417"/>
      <c r="N195" s="418"/>
      <c r="O195" s="304">
        <f t="shared" si="29"/>
        <v>0</v>
      </c>
      <c r="P195" s="409"/>
      <c r="Q195" s="37"/>
    </row>
    <row r="196" spans="1:17" s="52" customFormat="1" hidden="1" outlineLevel="1" x14ac:dyDescent="0.25">
      <c r="A196" s="53">
        <v>200</v>
      </c>
      <c r="B196" s="53">
        <v>219</v>
      </c>
      <c r="C196" s="73">
        <v>0</v>
      </c>
      <c r="D196" s="73">
        <v>0</v>
      </c>
      <c r="E196" s="412"/>
      <c r="F196" s="413"/>
      <c r="G196" s="56">
        <f t="shared" si="28"/>
        <v>45.140558976616632</v>
      </c>
      <c r="H196" s="56">
        <f>G196*0.7</f>
        <v>31.598391283631639</v>
      </c>
      <c r="I196" s="412"/>
      <c r="J196" s="413"/>
      <c r="K196" s="303">
        <f t="shared" ref="K196:L207" si="30">C196*G196*$J$39*1.15/1000000*24*$P$39</f>
        <v>0</v>
      </c>
      <c r="L196" s="303">
        <f t="shared" si="30"/>
        <v>0</v>
      </c>
      <c r="M196" s="417"/>
      <c r="N196" s="418"/>
      <c r="O196" s="304">
        <f t="shared" si="29"/>
        <v>0</v>
      </c>
      <c r="P196" s="409"/>
      <c r="Q196" s="37"/>
    </row>
    <row r="197" spans="1:17" s="52" customFormat="1" hidden="1" outlineLevel="1" x14ac:dyDescent="0.25">
      <c r="A197" s="53">
        <v>250</v>
      </c>
      <c r="B197" s="53">
        <v>273</v>
      </c>
      <c r="C197" s="73">
        <v>0</v>
      </c>
      <c r="D197" s="73">
        <v>0</v>
      </c>
      <c r="E197" s="412"/>
      <c r="F197" s="413"/>
      <c r="G197" s="56">
        <f t="shared" si="28"/>
        <v>52.045217262638175</v>
      </c>
      <c r="H197" s="56">
        <f>G197*0.7</f>
        <v>36.431652083846721</v>
      </c>
      <c r="I197" s="412"/>
      <c r="J197" s="413"/>
      <c r="K197" s="303">
        <f t="shared" si="30"/>
        <v>0</v>
      </c>
      <c r="L197" s="303">
        <f t="shared" si="30"/>
        <v>0</v>
      </c>
      <c r="M197" s="417"/>
      <c r="N197" s="418"/>
      <c r="O197" s="304">
        <f t="shared" si="29"/>
        <v>0</v>
      </c>
      <c r="P197" s="409"/>
      <c r="Q197" s="37"/>
    </row>
    <row r="198" spans="1:17" s="52" customFormat="1" hidden="1" outlineLevel="1" x14ac:dyDescent="0.25">
      <c r="A198" s="53">
        <v>300</v>
      </c>
      <c r="B198" s="53">
        <v>325</v>
      </c>
      <c r="C198" s="73">
        <v>0</v>
      </c>
      <c r="D198" s="73">
        <v>0</v>
      </c>
      <c r="E198" s="412"/>
      <c r="F198" s="413"/>
      <c r="G198" s="56">
        <f t="shared" si="28"/>
        <v>60.031156199270846</v>
      </c>
      <c r="H198" s="56">
        <f>G198*0.7</f>
        <v>42.021809339489593</v>
      </c>
      <c r="I198" s="412"/>
      <c r="J198" s="413"/>
      <c r="K198" s="303">
        <f t="shared" si="30"/>
        <v>0</v>
      </c>
      <c r="L198" s="303">
        <f t="shared" si="30"/>
        <v>0</v>
      </c>
      <c r="M198" s="417"/>
      <c r="N198" s="418"/>
      <c r="O198" s="304">
        <f t="shared" si="29"/>
        <v>0</v>
      </c>
      <c r="P198" s="409"/>
      <c r="Q198" s="37"/>
    </row>
    <row r="199" spans="1:17" s="52" customFormat="1" hidden="1" outlineLevel="1" x14ac:dyDescent="0.25">
      <c r="A199" s="53">
        <v>350</v>
      </c>
      <c r="B199" s="53">
        <v>377</v>
      </c>
      <c r="C199" s="73">
        <v>0</v>
      </c>
      <c r="D199" s="73">
        <v>0</v>
      </c>
      <c r="E199" s="412"/>
      <c r="F199" s="413"/>
      <c r="G199" s="56">
        <f t="shared" si="28"/>
        <v>66.935814485292397</v>
      </c>
      <c r="H199" s="56">
        <f t="shared" ref="H199:H207" si="31">G199*0.8</f>
        <v>53.548651588233923</v>
      </c>
      <c r="I199" s="412"/>
      <c r="J199" s="413"/>
      <c r="K199" s="303">
        <f t="shared" si="30"/>
        <v>0</v>
      </c>
      <c r="L199" s="303">
        <f t="shared" si="30"/>
        <v>0</v>
      </c>
      <c r="M199" s="417"/>
      <c r="N199" s="418"/>
      <c r="O199" s="304">
        <f t="shared" si="29"/>
        <v>0</v>
      </c>
      <c r="P199" s="409"/>
      <c r="Q199" s="37"/>
    </row>
    <row r="200" spans="1:17" s="52" customFormat="1" hidden="1" outlineLevel="1" x14ac:dyDescent="0.25">
      <c r="A200" s="53">
        <v>400</v>
      </c>
      <c r="B200" s="53">
        <v>426</v>
      </c>
      <c r="C200" s="73">
        <v>0</v>
      </c>
      <c r="D200" s="73">
        <v>0</v>
      </c>
      <c r="E200" s="412"/>
      <c r="F200" s="413"/>
      <c r="G200" s="56">
        <f t="shared" si="28"/>
        <v>73.619037348561761</v>
      </c>
      <c r="H200" s="56">
        <f t="shared" si="31"/>
        <v>58.895229878849413</v>
      </c>
      <c r="I200" s="412"/>
      <c r="J200" s="413"/>
      <c r="K200" s="303">
        <f t="shared" si="30"/>
        <v>0</v>
      </c>
      <c r="L200" s="303">
        <f t="shared" si="30"/>
        <v>0</v>
      </c>
      <c r="M200" s="417"/>
      <c r="N200" s="418"/>
      <c r="O200" s="304">
        <f t="shared" si="29"/>
        <v>0</v>
      </c>
      <c r="P200" s="409"/>
      <c r="Q200" s="37"/>
    </row>
    <row r="201" spans="1:17" s="52" customFormat="1" hidden="1" outlineLevel="1" x14ac:dyDescent="0.25">
      <c r="A201" s="53">
        <v>450</v>
      </c>
      <c r="B201" s="53">
        <v>478</v>
      </c>
      <c r="C201" s="73">
        <v>0</v>
      </c>
      <c r="D201" s="73">
        <v>0</v>
      </c>
      <c r="E201" s="412"/>
      <c r="F201" s="413"/>
      <c r="G201" s="56">
        <f t="shared" si="28"/>
        <v>80.30226021183114</v>
      </c>
      <c r="H201" s="56">
        <f t="shared" si="31"/>
        <v>64.241808169464917</v>
      </c>
      <c r="I201" s="412"/>
      <c r="J201" s="413"/>
      <c r="K201" s="303">
        <f t="shared" si="30"/>
        <v>0</v>
      </c>
      <c r="L201" s="303">
        <f t="shared" si="30"/>
        <v>0</v>
      </c>
      <c r="M201" s="417"/>
      <c r="N201" s="418"/>
      <c r="O201" s="304">
        <f t="shared" si="29"/>
        <v>0</v>
      </c>
      <c r="P201" s="409"/>
      <c r="Q201" s="37"/>
    </row>
    <row r="202" spans="1:17" s="52" customFormat="1" hidden="1" outlineLevel="1" x14ac:dyDescent="0.25">
      <c r="A202" s="53">
        <v>500</v>
      </c>
      <c r="B202" s="53">
        <v>529</v>
      </c>
      <c r="C202" s="73">
        <v>0</v>
      </c>
      <c r="D202" s="73">
        <v>0</v>
      </c>
      <c r="E202" s="412"/>
      <c r="F202" s="413"/>
      <c r="G202" s="56">
        <f t="shared" si="28"/>
        <v>87.845328302959501</v>
      </c>
      <c r="H202" s="56">
        <f t="shared" si="31"/>
        <v>70.276262642367598</v>
      </c>
      <c r="I202" s="412"/>
      <c r="J202" s="413"/>
      <c r="K202" s="303">
        <f t="shared" si="30"/>
        <v>0</v>
      </c>
      <c r="L202" s="303">
        <f t="shared" si="30"/>
        <v>0</v>
      </c>
      <c r="M202" s="417"/>
      <c r="N202" s="418"/>
      <c r="O202" s="304">
        <f t="shared" si="29"/>
        <v>0</v>
      </c>
      <c r="P202" s="409"/>
      <c r="Q202" s="37"/>
    </row>
    <row r="203" spans="1:17" s="52" customFormat="1" hidden="1" outlineLevel="1" x14ac:dyDescent="0.25">
      <c r="A203" s="53">
        <v>600</v>
      </c>
      <c r="B203" s="53">
        <v>630</v>
      </c>
      <c r="C203" s="73">
        <v>0</v>
      </c>
      <c r="D203" s="73">
        <v>0</v>
      </c>
      <c r="E203" s="412"/>
      <c r="F203" s="413"/>
      <c r="G203" s="56">
        <f t="shared" si="28"/>
        <v>100.37782526478894</v>
      </c>
      <c r="H203" s="56">
        <f t="shared" si="31"/>
        <v>80.302260211831154</v>
      </c>
      <c r="I203" s="412"/>
      <c r="J203" s="413"/>
      <c r="K203" s="303">
        <f t="shared" si="30"/>
        <v>0</v>
      </c>
      <c r="L203" s="303">
        <f t="shared" si="30"/>
        <v>0</v>
      </c>
      <c r="M203" s="417"/>
      <c r="N203" s="418"/>
      <c r="O203" s="304">
        <f t="shared" si="29"/>
        <v>0</v>
      </c>
      <c r="P203" s="409"/>
      <c r="Q203" s="37"/>
    </row>
    <row r="204" spans="1:17" s="52" customFormat="1" hidden="1" outlineLevel="1" x14ac:dyDescent="0.25">
      <c r="A204" s="53">
        <v>700</v>
      </c>
      <c r="B204" s="53">
        <v>720</v>
      </c>
      <c r="C204" s="73">
        <v>0</v>
      </c>
      <c r="D204" s="73">
        <v>0</v>
      </c>
      <c r="E204" s="412"/>
      <c r="F204" s="413"/>
      <c r="G204" s="56">
        <f t="shared" si="28"/>
        <v>113.52283556857552</v>
      </c>
      <c r="H204" s="56">
        <f t="shared" si="31"/>
        <v>90.818268454860416</v>
      </c>
      <c r="I204" s="412"/>
      <c r="J204" s="413"/>
      <c r="K204" s="303">
        <f t="shared" si="30"/>
        <v>0</v>
      </c>
      <c r="L204" s="303">
        <f t="shared" si="30"/>
        <v>0</v>
      </c>
      <c r="M204" s="417"/>
      <c r="N204" s="418"/>
      <c r="O204" s="304">
        <f t="shared" si="29"/>
        <v>0</v>
      </c>
      <c r="P204" s="409"/>
      <c r="Q204" s="37"/>
    </row>
    <row r="205" spans="1:17" s="52" customFormat="1" hidden="1" outlineLevel="1" x14ac:dyDescent="0.25">
      <c r="A205" s="53">
        <v>800</v>
      </c>
      <c r="B205" s="53">
        <v>820</v>
      </c>
      <c r="C205" s="73">
        <v>0</v>
      </c>
      <c r="D205" s="73">
        <v>0</v>
      </c>
      <c r="E205" s="412"/>
      <c r="F205" s="413"/>
      <c r="G205" s="56">
        <f t="shared" si="28"/>
        <v>127.11071671786645</v>
      </c>
      <c r="H205" s="56">
        <f t="shared" si="31"/>
        <v>101.68857337429317</v>
      </c>
      <c r="I205" s="412"/>
      <c r="J205" s="413"/>
      <c r="K205" s="303">
        <f t="shared" si="30"/>
        <v>0</v>
      </c>
      <c r="L205" s="303">
        <f t="shared" si="30"/>
        <v>0</v>
      </c>
      <c r="M205" s="417"/>
      <c r="N205" s="418"/>
      <c r="O205" s="304">
        <f t="shared" si="29"/>
        <v>0</v>
      </c>
      <c r="P205" s="409"/>
      <c r="Q205" s="37"/>
    </row>
    <row r="206" spans="1:17" s="52" customFormat="1" hidden="1" outlineLevel="1" x14ac:dyDescent="0.25">
      <c r="A206" s="53">
        <v>900</v>
      </c>
      <c r="B206" s="53">
        <v>920</v>
      </c>
      <c r="C206" s="73">
        <v>0</v>
      </c>
      <c r="D206" s="73">
        <v>0</v>
      </c>
      <c r="E206" s="412"/>
      <c r="F206" s="413"/>
      <c r="G206" s="56">
        <f t="shared" si="28"/>
        <v>140.06018806205051</v>
      </c>
      <c r="H206" s="56">
        <f t="shared" si="31"/>
        <v>112.04815044964042</v>
      </c>
      <c r="I206" s="412"/>
      <c r="J206" s="413"/>
      <c r="K206" s="303">
        <f t="shared" si="30"/>
        <v>0</v>
      </c>
      <c r="L206" s="303">
        <f t="shared" si="30"/>
        <v>0</v>
      </c>
      <c r="M206" s="417"/>
      <c r="N206" s="418"/>
      <c r="O206" s="304">
        <f t="shared" si="29"/>
        <v>0</v>
      </c>
      <c r="P206" s="409"/>
      <c r="Q206" s="37"/>
    </row>
    <row r="207" spans="1:17" s="52" customFormat="1" hidden="1" outlineLevel="1" x14ac:dyDescent="0.25">
      <c r="A207" s="53">
        <v>1000</v>
      </c>
      <c r="B207" s="53">
        <v>1020</v>
      </c>
      <c r="C207" s="73">
        <v>0</v>
      </c>
      <c r="D207" s="73">
        <v>0</v>
      </c>
      <c r="E207" s="412"/>
      <c r="F207" s="413"/>
      <c r="G207" s="56">
        <f t="shared" si="28"/>
        <v>153.64806921134146</v>
      </c>
      <c r="H207" s="56">
        <f t="shared" si="31"/>
        <v>122.91845536907317</v>
      </c>
      <c r="I207" s="412"/>
      <c r="J207" s="413"/>
      <c r="K207" s="303">
        <f t="shared" si="30"/>
        <v>0</v>
      </c>
      <c r="L207" s="303">
        <f t="shared" si="30"/>
        <v>0</v>
      </c>
      <c r="M207" s="417"/>
      <c r="N207" s="418"/>
      <c r="O207" s="304">
        <f t="shared" si="29"/>
        <v>0</v>
      </c>
      <c r="P207" s="409"/>
      <c r="Q207" s="37"/>
    </row>
    <row r="208" spans="1:17" s="30" customFormat="1" ht="60.75" hidden="1" customHeight="1" x14ac:dyDescent="0.25">
      <c r="A208" s="400" t="s">
        <v>52</v>
      </c>
      <c r="B208" s="401"/>
      <c r="C208" s="28">
        <f>SUM(C188:C207)</f>
        <v>0</v>
      </c>
      <c r="D208" s="28">
        <f>SUM(D188:D207)</f>
        <v>0</v>
      </c>
      <c r="E208" s="414"/>
      <c r="F208" s="415"/>
      <c r="G208" s="15">
        <f>IF(C208=0,0,SUMPRODUCT(C188:C207,G188:G207)/C208)</f>
        <v>0</v>
      </c>
      <c r="H208" s="15">
        <f>IF(D208=0,0,SUMPRODUCT(D188:D207,H188:H207)/D208)</f>
        <v>0</v>
      </c>
      <c r="I208" s="414"/>
      <c r="J208" s="415"/>
      <c r="K208" s="305">
        <f>SUM(K188:K207)</f>
        <v>0</v>
      </c>
      <c r="L208" s="305">
        <f>SUM(L188:L207)</f>
        <v>0</v>
      </c>
      <c r="M208" s="419"/>
      <c r="N208" s="420"/>
      <c r="O208" s="306">
        <f>SUM(O188:O207)</f>
        <v>0</v>
      </c>
      <c r="P208" s="410"/>
      <c r="Q208" s="29"/>
    </row>
    <row r="209" spans="1:28" s="54" customFormat="1" ht="30.75" hidden="1" customHeight="1" x14ac:dyDescent="0.25">
      <c r="A209" s="429" t="s">
        <v>69</v>
      </c>
      <c r="B209" s="430"/>
      <c r="C209" s="430"/>
      <c r="D209" s="430"/>
      <c r="E209" s="430"/>
      <c r="F209" s="430"/>
      <c r="G209" s="430"/>
      <c r="H209" s="430"/>
      <c r="I209" s="430"/>
      <c r="J209" s="430"/>
      <c r="K209" s="430"/>
      <c r="L209" s="430"/>
      <c r="M209" s="430"/>
      <c r="N209" s="430"/>
      <c r="O209" s="430"/>
      <c r="P209" s="431"/>
      <c r="Q209" s="74"/>
    </row>
    <row r="210" spans="1:28" s="24" customFormat="1" ht="93" hidden="1" customHeight="1" x14ac:dyDescent="0.25">
      <c r="A210" s="24" t="s">
        <v>26</v>
      </c>
      <c r="B210" s="24" t="s">
        <v>27</v>
      </c>
      <c r="C210" s="24" t="s">
        <v>28</v>
      </c>
      <c r="D210" s="24" t="s">
        <v>29</v>
      </c>
      <c r="E210" s="423"/>
      <c r="F210" s="424"/>
      <c r="G210" s="24" t="s">
        <v>30</v>
      </c>
      <c r="H210" s="24" t="s">
        <v>31</v>
      </c>
      <c r="I210" s="423"/>
      <c r="J210" s="424"/>
      <c r="K210" s="307" t="s">
        <v>34</v>
      </c>
      <c r="L210" s="307" t="s">
        <v>35</v>
      </c>
      <c r="M210" s="425"/>
      <c r="N210" s="426"/>
      <c r="O210" s="308" t="s">
        <v>38</v>
      </c>
      <c r="P210" s="432"/>
      <c r="Q210" s="21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3"/>
    </row>
    <row r="211" spans="1:28" s="22" customFormat="1" ht="15" hidden="1" customHeight="1" x14ac:dyDescent="0.25">
      <c r="A211" s="25" t="s">
        <v>40</v>
      </c>
      <c r="B211" s="25" t="s">
        <v>40</v>
      </c>
      <c r="C211" s="25" t="s">
        <v>41</v>
      </c>
      <c r="D211" s="25" t="s">
        <v>41</v>
      </c>
      <c r="E211" s="412"/>
      <c r="F211" s="413"/>
      <c r="G211" s="25" t="s">
        <v>42</v>
      </c>
      <c r="H211" s="25" t="s">
        <v>42</v>
      </c>
      <c r="I211" s="412"/>
      <c r="J211" s="413"/>
      <c r="K211" s="301" t="s">
        <v>15</v>
      </c>
      <c r="L211" s="301" t="s">
        <v>15</v>
      </c>
      <c r="M211" s="417"/>
      <c r="N211" s="418"/>
      <c r="O211" s="302" t="s">
        <v>43</v>
      </c>
      <c r="P211" s="409"/>
      <c r="Q211" s="27"/>
    </row>
    <row r="212" spans="1:28" s="52" customFormat="1" hidden="1" outlineLevel="1" x14ac:dyDescent="0.25">
      <c r="A212" s="53">
        <v>25</v>
      </c>
      <c r="B212" s="53">
        <v>32</v>
      </c>
      <c r="C212" s="73">
        <v>0</v>
      </c>
      <c r="D212" s="73">
        <v>0</v>
      </c>
      <c r="E212" s="412"/>
      <c r="F212" s="413"/>
      <c r="G212" s="56">
        <f>(IF($J$33-$J$37&gt;$L$8,L9+(M9-L9)*($J$33-$J$37-$L$8)/($M$8-$L$8),K9+(L9-K9)*($J$33-$J$37-$K$8)/($L$8-$K$8)))/1.163</f>
        <v>12.172454705555419</v>
      </c>
      <c r="H212" s="56">
        <f>G212*0.5</f>
        <v>6.0862273527777093</v>
      </c>
      <c r="I212" s="412"/>
      <c r="J212" s="413"/>
      <c r="K212" s="303">
        <f t="shared" ref="K212:L218" si="32">C212*G212*$J$39*1.2/1000000*24*$P$40</f>
        <v>0</v>
      </c>
      <c r="L212" s="303">
        <f t="shared" si="32"/>
        <v>0</v>
      </c>
      <c r="M212" s="417"/>
      <c r="N212" s="418"/>
      <c r="O212" s="304">
        <f>(C212+D212)*A212*A212/1000000/4*(3.1416*24*0.0025)</f>
        <v>0</v>
      </c>
      <c r="P212" s="409"/>
      <c r="Q212" s="37"/>
    </row>
    <row r="213" spans="1:28" s="52" customFormat="1" hidden="1" outlineLevel="1" x14ac:dyDescent="0.25">
      <c r="A213" s="53">
        <v>40</v>
      </c>
      <c r="B213" s="53">
        <v>45</v>
      </c>
      <c r="C213" s="73">
        <v>0</v>
      </c>
      <c r="D213" s="73">
        <v>0</v>
      </c>
      <c r="E213" s="412"/>
      <c r="F213" s="413"/>
      <c r="G213" s="56">
        <f t="shared" ref="G213:G231" si="33">(IF($J$33-$J$37&gt;$L$8,L10+(M10-L10)*($J$33-$J$37-$L$8)/($M$8-$L$8),K10+(L10-K10)*($J$33-$J$37-$K$8)/($L$8-$K$8)))/1.163</f>
        <v>14.640417510312471</v>
      </c>
      <c r="H213" s="56">
        <f>G213*0.5</f>
        <v>7.3202087551562354</v>
      </c>
      <c r="I213" s="412"/>
      <c r="J213" s="413"/>
      <c r="K213" s="303">
        <f t="shared" si="32"/>
        <v>0</v>
      </c>
      <c r="L213" s="303">
        <f t="shared" si="32"/>
        <v>0</v>
      </c>
      <c r="M213" s="417"/>
      <c r="N213" s="418"/>
      <c r="O213" s="304">
        <f t="shared" ref="O213:O231" si="34">(C213+D213)*A213*A213/1000000/4*(3.1416*24*0.0025)</f>
        <v>0</v>
      </c>
      <c r="P213" s="409"/>
      <c r="Q213" s="37"/>
    </row>
    <row r="214" spans="1:28" s="52" customFormat="1" hidden="1" outlineLevel="1" x14ac:dyDescent="0.25">
      <c r="A214" s="53">
        <v>50</v>
      </c>
      <c r="B214" s="53">
        <v>57</v>
      </c>
      <c r="C214" s="73">
        <v>0</v>
      </c>
      <c r="D214" s="73">
        <v>0</v>
      </c>
      <c r="E214" s="412"/>
      <c r="F214" s="413"/>
      <c r="G214" s="56">
        <f t="shared" si="33"/>
        <v>15.221330541121702</v>
      </c>
      <c r="H214" s="56">
        <f>G214*0.5</f>
        <v>7.6106652705608511</v>
      </c>
      <c r="I214" s="412"/>
      <c r="J214" s="413"/>
      <c r="K214" s="303">
        <f t="shared" si="32"/>
        <v>0</v>
      </c>
      <c r="L214" s="303">
        <f t="shared" si="32"/>
        <v>0</v>
      </c>
      <c r="M214" s="417"/>
      <c r="N214" s="418"/>
      <c r="O214" s="304">
        <f t="shared" si="34"/>
        <v>0</v>
      </c>
      <c r="P214" s="409"/>
      <c r="Q214" s="37"/>
    </row>
    <row r="215" spans="1:28" s="52" customFormat="1" hidden="1" outlineLevel="1" x14ac:dyDescent="0.25">
      <c r="A215" s="53">
        <v>65</v>
      </c>
      <c r="B215" s="53">
        <v>76</v>
      </c>
      <c r="C215" s="73">
        <v>0</v>
      </c>
      <c r="D215" s="73">
        <v>0</v>
      </c>
      <c r="E215" s="412"/>
      <c r="F215" s="413"/>
      <c r="G215" s="56">
        <f t="shared" si="33"/>
        <v>18.772284331377548</v>
      </c>
      <c r="H215" s="56">
        <f>G215*0.5</f>
        <v>9.3861421656887742</v>
      </c>
      <c r="I215" s="412"/>
      <c r="J215" s="413"/>
      <c r="K215" s="303">
        <f t="shared" si="32"/>
        <v>0</v>
      </c>
      <c r="L215" s="303">
        <f t="shared" si="32"/>
        <v>0</v>
      </c>
      <c r="M215" s="417"/>
      <c r="N215" s="418"/>
      <c r="O215" s="304">
        <f t="shared" si="34"/>
        <v>0</v>
      </c>
      <c r="P215" s="409"/>
      <c r="Q215" s="37"/>
    </row>
    <row r="216" spans="1:28" s="52" customFormat="1" hidden="1" outlineLevel="1" x14ac:dyDescent="0.25">
      <c r="A216" s="53">
        <v>80</v>
      </c>
      <c r="B216" s="53">
        <v>89</v>
      </c>
      <c r="C216" s="73">
        <v>0</v>
      </c>
      <c r="D216" s="73">
        <v>0</v>
      </c>
      <c r="E216" s="412"/>
      <c r="F216" s="413"/>
      <c r="G216" s="56">
        <f t="shared" si="33"/>
        <v>20.380401908275616</v>
      </c>
      <c r="H216" s="56">
        <f>G216*0.6</f>
        <v>12.228241144965368</v>
      </c>
      <c r="I216" s="412"/>
      <c r="J216" s="413"/>
      <c r="K216" s="303">
        <f t="shared" si="32"/>
        <v>0</v>
      </c>
      <c r="L216" s="303">
        <f t="shared" si="32"/>
        <v>0</v>
      </c>
      <c r="M216" s="417"/>
      <c r="N216" s="418"/>
      <c r="O216" s="304">
        <f t="shared" si="34"/>
        <v>0</v>
      </c>
      <c r="P216" s="409"/>
      <c r="Q216" s="37"/>
    </row>
    <row r="217" spans="1:28" s="52" customFormat="1" hidden="1" outlineLevel="1" x14ac:dyDescent="0.25">
      <c r="A217" s="53">
        <v>100</v>
      </c>
      <c r="B217" s="53">
        <v>108</v>
      </c>
      <c r="C217" s="73">
        <v>0</v>
      </c>
      <c r="D217" s="73">
        <v>0</v>
      </c>
      <c r="E217" s="412"/>
      <c r="F217" s="413"/>
      <c r="G217" s="56">
        <f t="shared" si="33"/>
        <v>22.848364713032669</v>
      </c>
      <c r="H217" s="56">
        <f>G217*0.6</f>
        <v>13.709018827819602</v>
      </c>
      <c r="I217" s="412"/>
      <c r="J217" s="413"/>
      <c r="K217" s="303">
        <f t="shared" si="32"/>
        <v>0</v>
      </c>
      <c r="L217" s="303">
        <f t="shared" si="32"/>
        <v>0</v>
      </c>
      <c r="M217" s="417"/>
      <c r="N217" s="418"/>
      <c r="O217" s="304">
        <f t="shared" si="34"/>
        <v>0</v>
      </c>
      <c r="P217" s="409"/>
      <c r="Q217" s="37"/>
    </row>
    <row r="218" spans="1:28" s="52" customFormat="1" hidden="1" outlineLevel="1" x14ac:dyDescent="0.25">
      <c r="A218" s="53">
        <v>125</v>
      </c>
      <c r="B218" s="53">
        <v>133</v>
      </c>
      <c r="C218" s="73">
        <v>0</v>
      </c>
      <c r="D218" s="73">
        <v>0</v>
      </c>
      <c r="E218" s="412"/>
      <c r="F218" s="413"/>
      <c r="G218" s="56">
        <f t="shared" si="33"/>
        <v>26.23195918505866</v>
      </c>
      <c r="H218" s="56">
        <f>G218*0.6</f>
        <v>15.739175511035196</v>
      </c>
      <c r="I218" s="412"/>
      <c r="J218" s="413"/>
      <c r="K218" s="303">
        <f t="shared" si="32"/>
        <v>0</v>
      </c>
      <c r="L218" s="303">
        <f t="shared" si="32"/>
        <v>0</v>
      </c>
      <c r="M218" s="417"/>
      <c r="N218" s="418"/>
      <c r="O218" s="304">
        <f t="shared" si="34"/>
        <v>0</v>
      </c>
      <c r="P218" s="409"/>
      <c r="Q218" s="37"/>
    </row>
    <row r="219" spans="1:28" s="52" customFormat="1" hidden="1" outlineLevel="1" x14ac:dyDescent="0.25">
      <c r="A219" s="53">
        <v>150</v>
      </c>
      <c r="B219" s="53">
        <v>159</v>
      </c>
      <c r="C219" s="73">
        <v>0</v>
      </c>
      <c r="D219" s="73">
        <v>0</v>
      </c>
      <c r="E219" s="412"/>
      <c r="F219" s="413"/>
      <c r="G219" s="56">
        <f t="shared" si="33"/>
        <v>28.532562671585865</v>
      </c>
      <c r="H219" s="56">
        <f>G219*0.6</f>
        <v>17.119537602951517</v>
      </c>
      <c r="I219" s="412"/>
      <c r="J219" s="413"/>
      <c r="K219" s="303">
        <f>C219*G219*$J$39*1.15/1000000*24*$P$40</f>
        <v>0</v>
      </c>
      <c r="L219" s="303">
        <f>D219*H219*$J$39*1.15/1000000*24*$P$40</f>
        <v>0</v>
      </c>
      <c r="M219" s="417"/>
      <c r="N219" s="418"/>
      <c r="O219" s="304">
        <f t="shared" si="34"/>
        <v>0</v>
      </c>
      <c r="P219" s="409"/>
      <c r="Q219" s="37"/>
    </row>
    <row r="220" spans="1:28" s="52" customFormat="1" hidden="1" outlineLevel="1" x14ac:dyDescent="0.25">
      <c r="A220" s="53">
        <v>200</v>
      </c>
      <c r="B220" s="53">
        <v>219</v>
      </c>
      <c r="C220" s="73">
        <v>0</v>
      </c>
      <c r="D220" s="73">
        <v>0</v>
      </c>
      <c r="E220" s="412"/>
      <c r="F220" s="413"/>
      <c r="G220" s="56">
        <f t="shared" si="33"/>
        <v>35.99223752526698</v>
      </c>
      <c r="H220" s="56">
        <f>G220*0.7</f>
        <v>25.194566267686884</v>
      </c>
      <c r="I220" s="412"/>
      <c r="J220" s="413"/>
      <c r="K220" s="303">
        <f t="shared" ref="K220:L231" si="35">C220*G220*$J$39*1.15/1000000*24*$P$40</f>
        <v>0</v>
      </c>
      <c r="L220" s="303">
        <f t="shared" si="35"/>
        <v>0</v>
      </c>
      <c r="M220" s="417"/>
      <c r="N220" s="418"/>
      <c r="O220" s="304">
        <f t="shared" si="34"/>
        <v>0</v>
      </c>
      <c r="P220" s="409"/>
      <c r="Q220" s="37"/>
    </row>
    <row r="221" spans="1:28" s="52" customFormat="1" hidden="1" outlineLevel="1" x14ac:dyDescent="0.25">
      <c r="A221" s="53">
        <v>250</v>
      </c>
      <c r="B221" s="53">
        <v>273</v>
      </c>
      <c r="C221" s="73">
        <v>0</v>
      </c>
      <c r="D221" s="73">
        <v>0</v>
      </c>
      <c r="E221" s="412"/>
      <c r="F221" s="413"/>
      <c r="G221" s="56">
        <f t="shared" si="33"/>
        <v>41.78800836264007</v>
      </c>
      <c r="H221" s="56">
        <f>G221*0.7</f>
        <v>29.251605853848048</v>
      </c>
      <c r="I221" s="412"/>
      <c r="J221" s="413"/>
      <c r="K221" s="303">
        <f t="shared" si="35"/>
        <v>0</v>
      </c>
      <c r="L221" s="303">
        <f t="shared" si="35"/>
        <v>0</v>
      </c>
      <c r="M221" s="417"/>
      <c r="N221" s="418"/>
      <c r="O221" s="304">
        <f t="shared" si="34"/>
        <v>0</v>
      </c>
      <c r="P221" s="409"/>
      <c r="Q221" s="37"/>
    </row>
    <row r="222" spans="1:28" s="52" customFormat="1" hidden="1" outlineLevel="1" x14ac:dyDescent="0.25">
      <c r="A222" s="53">
        <v>300</v>
      </c>
      <c r="B222" s="53">
        <v>325</v>
      </c>
      <c r="C222" s="73">
        <v>0</v>
      </c>
      <c r="D222" s="73">
        <v>0</v>
      </c>
      <c r="E222" s="412"/>
      <c r="F222" s="413"/>
      <c r="G222" s="56">
        <f t="shared" si="33"/>
        <v>48.387837988462195</v>
      </c>
      <c r="H222" s="56">
        <f>G222*0.7</f>
        <v>33.871486591923535</v>
      </c>
      <c r="I222" s="412"/>
      <c r="J222" s="413"/>
      <c r="K222" s="303">
        <f t="shared" si="35"/>
        <v>0</v>
      </c>
      <c r="L222" s="303">
        <f t="shared" si="35"/>
        <v>0</v>
      </c>
      <c r="M222" s="417"/>
      <c r="N222" s="418"/>
      <c r="O222" s="304">
        <f t="shared" si="34"/>
        <v>0</v>
      </c>
      <c r="P222" s="409"/>
      <c r="Q222" s="37"/>
    </row>
    <row r="223" spans="1:28" s="52" customFormat="1" hidden="1" outlineLevel="1" x14ac:dyDescent="0.25">
      <c r="A223" s="53">
        <v>350</v>
      </c>
      <c r="B223" s="53">
        <v>377</v>
      </c>
      <c r="C223" s="73">
        <v>0</v>
      </c>
      <c r="D223" s="73">
        <v>0</v>
      </c>
      <c r="E223" s="412"/>
      <c r="F223" s="413"/>
      <c r="G223" s="56">
        <f t="shared" si="33"/>
        <v>54.183608825835293</v>
      </c>
      <c r="H223" s="56">
        <f t="shared" ref="H223:H231" si="36">G223*0.8</f>
        <v>43.346887060668237</v>
      </c>
      <c r="I223" s="412"/>
      <c r="J223" s="413"/>
      <c r="K223" s="303">
        <f t="shared" si="35"/>
        <v>0</v>
      </c>
      <c r="L223" s="303">
        <f t="shared" si="35"/>
        <v>0</v>
      </c>
      <c r="M223" s="417"/>
      <c r="N223" s="418"/>
      <c r="O223" s="304">
        <f t="shared" si="34"/>
        <v>0</v>
      </c>
      <c r="P223" s="409"/>
      <c r="Q223" s="37"/>
    </row>
    <row r="224" spans="1:28" s="52" customFormat="1" hidden="1" outlineLevel="1" x14ac:dyDescent="0.25">
      <c r="A224" s="53">
        <v>400</v>
      </c>
      <c r="B224" s="53">
        <v>426</v>
      </c>
      <c r="C224" s="73">
        <v>0</v>
      </c>
      <c r="D224" s="73">
        <v>0</v>
      </c>
      <c r="E224" s="412"/>
      <c r="F224" s="413"/>
      <c r="G224" s="56">
        <f t="shared" si="33"/>
        <v>60.035166102618341</v>
      </c>
      <c r="H224" s="56">
        <f t="shared" si="36"/>
        <v>48.028132882094674</v>
      </c>
      <c r="I224" s="412"/>
      <c r="J224" s="413"/>
      <c r="K224" s="303">
        <f t="shared" si="35"/>
        <v>0</v>
      </c>
      <c r="L224" s="303">
        <f t="shared" si="35"/>
        <v>0</v>
      </c>
      <c r="M224" s="417"/>
      <c r="N224" s="418"/>
      <c r="O224" s="304">
        <f t="shared" si="34"/>
        <v>0</v>
      </c>
      <c r="P224" s="409"/>
      <c r="Q224" s="37"/>
    </row>
    <row r="225" spans="1:28" s="52" customFormat="1" hidden="1" outlineLevel="1" x14ac:dyDescent="0.25">
      <c r="A225" s="53">
        <v>450</v>
      </c>
      <c r="B225" s="53">
        <v>478</v>
      </c>
      <c r="C225" s="73">
        <v>0</v>
      </c>
      <c r="D225" s="73">
        <v>0</v>
      </c>
      <c r="E225" s="412"/>
      <c r="F225" s="413"/>
      <c r="G225" s="56">
        <f t="shared" si="33"/>
        <v>65.886723379401374</v>
      </c>
      <c r="H225" s="56">
        <f t="shared" si="36"/>
        <v>52.709378703521104</v>
      </c>
      <c r="I225" s="412"/>
      <c r="J225" s="413"/>
      <c r="K225" s="303">
        <f t="shared" si="35"/>
        <v>0</v>
      </c>
      <c r="L225" s="303">
        <f t="shared" si="35"/>
        <v>0</v>
      </c>
      <c r="M225" s="417"/>
      <c r="N225" s="418"/>
      <c r="O225" s="304">
        <f t="shared" si="34"/>
        <v>0</v>
      </c>
      <c r="P225" s="409"/>
      <c r="Q225" s="37"/>
    </row>
    <row r="226" spans="1:28" s="52" customFormat="1" hidden="1" outlineLevel="1" x14ac:dyDescent="0.25">
      <c r="A226" s="53">
        <v>500</v>
      </c>
      <c r="B226" s="53">
        <v>529</v>
      </c>
      <c r="C226" s="73">
        <v>0</v>
      </c>
      <c r="D226" s="73">
        <v>0</v>
      </c>
      <c r="E226" s="412"/>
      <c r="F226" s="413"/>
      <c r="G226" s="56">
        <f t="shared" si="33"/>
        <v>72.598125884043412</v>
      </c>
      <c r="H226" s="56">
        <f t="shared" si="36"/>
        <v>58.078500707234731</v>
      </c>
      <c r="I226" s="412"/>
      <c r="J226" s="413"/>
      <c r="K226" s="303">
        <f t="shared" si="35"/>
        <v>0</v>
      </c>
      <c r="L226" s="303">
        <f t="shared" si="35"/>
        <v>0</v>
      </c>
      <c r="M226" s="417"/>
      <c r="N226" s="418"/>
      <c r="O226" s="304">
        <f t="shared" si="34"/>
        <v>0</v>
      </c>
      <c r="P226" s="409"/>
      <c r="Q226" s="37"/>
    </row>
    <row r="227" spans="1:28" s="52" customFormat="1" hidden="1" outlineLevel="1" x14ac:dyDescent="0.25">
      <c r="A227" s="53">
        <v>600</v>
      </c>
      <c r="B227" s="53">
        <v>630</v>
      </c>
      <c r="C227" s="73">
        <v>0</v>
      </c>
      <c r="D227" s="73">
        <v>0</v>
      </c>
      <c r="E227" s="412"/>
      <c r="F227" s="413"/>
      <c r="G227" s="56">
        <f t="shared" si="33"/>
        <v>82.358404224251728</v>
      </c>
      <c r="H227" s="56">
        <f t="shared" si="36"/>
        <v>65.886723379401388</v>
      </c>
      <c r="I227" s="412"/>
      <c r="J227" s="413"/>
      <c r="K227" s="303">
        <f t="shared" si="35"/>
        <v>0</v>
      </c>
      <c r="L227" s="303">
        <f t="shared" si="35"/>
        <v>0</v>
      </c>
      <c r="M227" s="417"/>
      <c r="N227" s="418"/>
      <c r="O227" s="304">
        <f t="shared" si="34"/>
        <v>0</v>
      </c>
      <c r="P227" s="409"/>
      <c r="Q227" s="37"/>
    </row>
    <row r="228" spans="1:28" s="52" customFormat="1" hidden="1" outlineLevel="1" x14ac:dyDescent="0.25">
      <c r="A228" s="53">
        <v>700</v>
      </c>
      <c r="B228" s="53">
        <v>720</v>
      </c>
      <c r="C228" s="73">
        <v>0</v>
      </c>
      <c r="D228" s="73">
        <v>0</v>
      </c>
      <c r="E228" s="412"/>
      <c r="F228" s="413"/>
      <c r="G228" s="56">
        <f t="shared" si="33"/>
        <v>94.117305217227766</v>
      </c>
      <c r="H228" s="56">
        <f t="shared" si="36"/>
        <v>75.293844173782219</v>
      </c>
      <c r="I228" s="412"/>
      <c r="J228" s="413"/>
      <c r="K228" s="303">
        <f t="shared" si="35"/>
        <v>0</v>
      </c>
      <c r="L228" s="303">
        <f t="shared" si="35"/>
        <v>0</v>
      </c>
      <c r="M228" s="417"/>
      <c r="N228" s="418"/>
      <c r="O228" s="304">
        <f t="shared" si="34"/>
        <v>0</v>
      </c>
      <c r="P228" s="409"/>
      <c r="Q228" s="37"/>
    </row>
    <row r="229" spans="1:28" s="52" customFormat="1" hidden="1" outlineLevel="1" x14ac:dyDescent="0.25">
      <c r="A229" s="53">
        <v>800</v>
      </c>
      <c r="B229" s="53">
        <v>820</v>
      </c>
      <c r="C229" s="73">
        <v>0</v>
      </c>
      <c r="D229" s="73">
        <v>0</v>
      </c>
      <c r="E229" s="412"/>
      <c r="F229" s="413"/>
      <c r="G229" s="56">
        <f t="shared" si="33"/>
        <v>105.76463333138391</v>
      </c>
      <c r="H229" s="56">
        <f t="shared" si="36"/>
        <v>84.611706665107135</v>
      </c>
      <c r="I229" s="412"/>
      <c r="J229" s="413"/>
      <c r="K229" s="303">
        <f t="shared" si="35"/>
        <v>0</v>
      </c>
      <c r="L229" s="303">
        <f t="shared" si="35"/>
        <v>0</v>
      </c>
      <c r="M229" s="417"/>
      <c r="N229" s="418"/>
      <c r="O229" s="304">
        <f t="shared" si="34"/>
        <v>0</v>
      </c>
      <c r="P229" s="409"/>
      <c r="Q229" s="37"/>
    </row>
    <row r="230" spans="1:28" s="52" customFormat="1" hidden="1" outlineLevel="1" x14ac:dyDescent="0.25">
      <c r="A230" s="53">
        <v>900</v>
      </c>
      <c r="B230" s="53">
        <v>920</v>
      </c>
      <c r="C230" s="73">
        <v>0</v>
      </c>
      <c r="D230" s="73">
        <v>0</v>
      </c>
      <c r="E230" s="412"/>
      <c r="F230" s="413"/>
      <c r="G230" s="56">
        <f t="shared" si="33"/>
        <v>116.4963297782711</v>
      </c>
      <c r="H230" s="56">
        <f t="shared" si="36"/>
        <v>93.197063822616883</v>
      </c>
      <c r="I230" s="412"/>
      <c r="J230" s="413"/>
      <c r="K230" s="303">
        <f t="shared" si="35"/>
        <v>0</v>
      </c>
      <c r="L230" s="303">
        <f t="shared" si="35"/>
        <v>0</v>
      </c>
      <c r="M230" s="417"/>
      <c r="N230" s="418"/>
      <c r="O230" s="304">
        <f t="shared" si="34"/>
        <v>0</v>
      </c>
      <c r="P230" s="409"/>
      <c r="Q230" s="37"/>
    </row>
    <row r="231" spans="1:28" s="52" customFormat="1" hidden="1" outlineLevel="1" x14ac:dyDescent="0.25">
      <c r="A231" s="53">
        <v>1000</v>
      </c>
      <c r="B231" s="53">
        <v>1020</v>
      </c>
      <c r="C231" s="73">
        <v>0</v>
      </c>
      <c r="D231" s="73">
        <v>0</v>
      </c>
      <c r="E231" s="412"/>
      <c r="F231" s="413"/>
      <c r="G231" s="56">
        <f t="shared" si="33"/>
        <v>128.14365789242726</v>
      </c>
      <c r="H231" s="56">
        <f t="shared" si="36"/>
        <v>102.51492631394181</v>
      </c>
      <c r="I231" s="412"/>
      <c r="J231" s="413"/>
      <c r="K231" s="303">
        <f t="shared" si="35"/>
        <v>0</v>
      </c>
      <c r="L231" s="303">
        <f t="shared" si="35"/>
        <v>0</v>
      </c>
      <c r="M231" s="417"/>
      <c r="N231" s="418"/>
      <c r="O231" s="304">
        <f t="shared" si="34"/>
        <v>0</v>
      </c>
      <c r="P231" s="409"/>
      <c r="Q231" s="37"/>
    </row>
    <row r="232" spans="1:28" s="30" customFormat="1" ht="56.25" hidden="1" customHeight="1" x14ac:dyDescent="0.25">
      <c r="A232" s="400" t="s">
        <v>53</v>
      </c>
      <c r="B232" s="401"/>
      <c r="C232" s="28">
        <f>SUM(C212:C231)</f>
        <v>0</v>
      </c>
      <c r="D232" s="28">
        <f>SUM(D212:D231)</f>
        <v>0</v>
      </c>
      <c r="E232" s="414"/>
      <c r="F232" s="415"/>
      <c r="G232" s="15">
        <f>IF(C232=0,0,SUMPRODUCT(C212:C231,G212:G231)/C232)</f>
        <v>0</v>
      </c>
      <c r="H232" s="15">
        <f>IF(D232=0,0,SUMPRODUCT(D212:D231,H212:H231)/D232)</f>
        <v>0</v>
      </c>
      <c r="I232" s="414"/>
      <c r="J232" s="415"/>
      <c r="K232" s="305">
        <f>SUM(K212:K231)</f>
        <v>0</v>
      </c>
      <c r="L232" s="305">
        <f>SUM(L212:L231)</f>
        <v>0</v>
      </c>
      <c r="M232" s="419"/>
      <c r="N232" s="420"/>
      <c r="O232" s="306">
        <f>SUM(O212:O231)</f>
        <v>0</v>
      </c>
      <c r="P232" s="410"/>
      <c r="Q232" s="29"/>
    </row>
    <row r="233" spans="1:28" s="54" customFormat="1" ht="36" customHeight="1" x14ac:dyDescent="0.25">
      <c r="A233" s="428" t="s">
        <v>471</v>
      </c>
      <c r="B233" s="428"/>
      <c r="C233" s="428"/>
      <c r="D233" s="428"/>
      <c r="E233" s="428"/>
      <c r="F233" s="428"/>
      <c r="G233" s="428"/>
      <c r="H233" s="428"/>
      <c r="I233" s="428"/>
      <c r="J233" s="428"/>
      <c r="K233" s="428"/>
      <c r="L233" s="428"/>
      <c r="M233" s="428"/>
      <c r="N233" s="428"/>
      <c r="O233" s="428"/>
      <c r="P233" s="428"/>
      <c r="Q233" s="74"/>
    </row>
    <row r="234" spans="1:28" s="24" customFormat="1" ht="73.5" customHeight="1" x14ac:dyDescent="0.25">
      <c r="A234" s="24" t="s">
        <v>26</v>
      </c>
      <c r="B234" s="24" t="s">
        <v>27</v>
      </c>
      <c r="C234" s="24" t="s">
        <v>54</v>
      </c>
      <c r="D234" s="24" t="s">
        <v>55</v>
      </c>
      <c r="E234" s="24" t="s">
        <v>56</v>
      </c>
      <c r="F234" s="24" t="s">
        <v>57</v>
      </c>
      <c r="G234" s="24" t="s">
        <v>30</v>
      </c>
      <c r="H234" s="24" t="s">
        <v>31</v>
      </c>
      <c r="I234" s="24" t="s">
        <v>32</v>
      </c>
      <c r="J234" s="24" t="s">
        <v>33</v>
      </c>
      <c r="K234" s="307" t="s">
        <v>34</v>
      </c>
      <c r="L234" s="307" t="s">
        <v>35</v>
      </c>
      <c r="M234" s="307" t="s">
        <v>36</v>
      </c>
      <c r="N234" s="307" t="s">
        <v>37</v>
      </c>
      <c r="O234" s="308" t="s">
        <v>38</v>
      </c>
      <c r="P234" s="17" t="s">
        <v>39</v>
      </c>
      <c r="Q234" s="21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3"/>
    </row>
    <row r="235" spans="1:28" s="22" customFormat="1" ht="14.25" x14ac:dyDescent="0.25">
      <c r="A235" s="25" t="s">
        <v>40</v>
      </c>
      <c r="B235" s="25" t="s">
        <v>40</v>
      </c>
      <c r="C235" s="25" t="s">
        <v>41</v>
      </c>
      <c r="D235" s="25" t="s">
        <v>41</v>
      </c>
      <c r="E235" s="25" t="s">
        <v>41</v>
      </c>
      <c r="F235" s="25" t="s">
        <v>41</v>
      </c>
      <c r="G235" s="25" t="s">
        <v>42</v>
      </c>
      <c r="H235" s="25" t="s">
        <v>42</v>
      </c>
      <c r="I235" s="25" t="s">
        <v>42</v>
      </c>
      <c r="J235" s="25" t="s">
        <v>42</v>
      </c>
      <c r="K235" s="301" t="s">
        <v>15</v>
      </c>
      <c r="L235" s="301" t="s">
        <v>15</v>
      </c>
      <c r="M235" s="301" t="s">
        <v>15</v>
      </c>
      <c r="N235" s="301" t="s">
        <v>15</v>
      </c>
      <c r="O235" s="302"/>
      <c r="P235" s="26"/>
      <c r="Q235" s="27"/>
    </row>
    <row r="236" spans="1:28" s="52" customFormat="1" outlineLevel="1" x14ac:dyDescent="0.25">
      <c r="A236" s="53">
        <v>25</v>
      </c>
      <c r="B236" s="53">
        <v>32</v>
      </c>
      <c r="C236" s="73">
        <v>0</v>
      </c>
      <c r="D236" s="73">
        <v>0</v>
      </c>
      <c r="E236" s="73">
        <v>0</v>
      </c>
      <c r="F236" s="73">
        <v>0</v>
      </c>
      <c r="G236" s="56">
        <f>(Q9-N9)/25*(50-65)+N9</f>
        <v>11.8</v>
      </c>
      <c r="H236" s="56">
        <f>G236*0.5</f>
        <v>5.9</v>
      </c>
      <c r="I236" s="56">
        <f>G236*40/55</f>
        <v>8.581818181818182</v>
      </c>
      <c r="J236" s="56">
        <f>I236*0.5</f>
        <v>4.290909090909091</v>
      </c>
      <c r="K236" s="303">
        <f t="shared" ref="K236:N242" si="37">C236*G236*$I$39*1.2/1000000*24</f>
        <v>0</v>
      </c>
      <c r="L236" s="303">
        <f t="shared" si="37"/>
        <v>0</v>
      </c>
      <c r="M236" s="303">
        <f t="shared" si="37"/>
        <v>0</v>
      </c>
      <c r="N236" s="303">
        <f t="shared" si="37"/>
        <v>0</v>
      </c>
      <c r="O236" s="313" t="s">
        <v>44</v>
      </c>
      <c r="P236" s="16" t="s">
        <v>44</v>
      </c>
      <c r="Q236" s="37"/>
    </row>
    <row r="237" spans="1:28" s="52" customFormat="1" outlineLevel="1" x14ac:dyDescent="0.25">
      <c r="A237" s="53">
        <v>40</v>
      </c>
      <c r="B237" s="53">
        <v>45</v>
      </c>
      <c r="C237" s="73">
        <v>0</v>
      </c>
      <c r="D237" s="73">
        <v>0</v>
      </c>
      <c r="E237" s="73">
        <v>0</v>
      </c>
      <c r="F237" s="73">
        <v>0</v>
      </c>
      <c r="G237" s="56">
        <f t="shared" ref="G237:G255" si="38">(Q10-N10)/25*(50-65)+N10</f>
        <v>13.2</v>
      </c>
      <c r="H237" s="56">
        <f>G237*0.5</f>
        <v>6.6</v>
      </c>
      <c r="I237" s="56">
        <f t="shared" ref="I237:I255" si="39">G237*40/55</f>
        <v>9.6</v>
      </c>
      <c r="J237" s="56">
        <f>I237*0.5</f>
        <v>4.8</v>
      </c>
      <c r="K237" s="303">
        <f t="shared" si="37"/>
        <v>0</v>
      </c>
      <c r="L237" s="303">
        <f t="shared" si="37"/>
        <v>0</v>
      </c>
      <c r="M237" s="303">
        <f t="shared" si="37"/>
        <v>0</v>
      </c>
      <c r="N237" s="303">
        <f t="shared" si="37"/>
        <v>0</v>
      </c>
      <c r="O237" s="313" t="s">
        <v>44</v>
      </c>
      <c r="P237" s="16" t="s">
        <v>44</v>
      </c>
      <c r="Q237" s="37"/>
    </row>
    <row r="238" spans="1:28" s="52" customFormat="1" outlineLevel="1" x14ac:dyDescent="0.25">
      <c r="A238" s="53">
        <v>50</v>
      </c>
      <c r="B238" s="53">
        <v>57</v>
      </c>
      <c r="C238" s="73">
        <v>0</v>
      </c>
      <c r="D238" s="73">
        <v>0</v>
      </c>
      <c r="E238" s="73">
        <v>0</v>
      </c>
      <c r="F238" s="73">
        <v>0</v>
      </c>
      <c r="G238" s="56">
        <f t="shared" si="38"/>
        <v>15.2</v>
      </c>
      <c r="H238" s="56">
        <f>G238*0.5</f>
        <v>7.6</v>
      </c>
      <c r="I238" s="56">
        <f t="shared" si="39"/>
        <v>11.054545454545455</v>
      </c>
      <c r="J238" s="56">
        <f>I238*0.5</f>
        <v>5.5272727272727273</v>
      </c>
      <c r="K238" s="303">
        <f t="shared" si="37"/>
        <v>0</v>
      </c>
      <c r="L238" s="303">
        <f t="shared" si="37"/>
        <v>0</v>
      </c>
      <c r="M238" s="303">
        <f t="shared" si="37"/>
        <v>0</v>
      </c>
      <c r="N238" s="303">
        <f t="shared" si="37"/>
        <v>0</v>
      </c>
      <c r="O238" s="313" t="s">
        <v>44</v>
      </c>
      <c r="P238" s="16" t="s">
        <v>44</v>
      </c>
      <c r="Q238" s="37"/>
    </row>
    <row r="239" spans="1:28" s="52" customFormat="1" outlineLevel="1" x14ac:dyDescent="0.25">
      <c r="A239" s="53">
        <v>65</v>
      </c>
      <c r="B239" s="53">
        <v>76</v>
      </c>
      <c r="C239" s="73">
        <v>0</v>
      </c>
      <c r="D239" s="73">
        <v>0</v>
      </c>
      <c r="E239" s="73">
        <v>0</v>
      </c>
      <c r="F239" s="73">
        <v>0</v>
      </c>
      <c r="G239" s="56">
        <f t="shared" si="38"/>
        <v>16.399999999999999</v>
      </c>
      <c r="H239" s="56">
        <f>G239*0.5</f>
        <v>8.1999999999999993</v>
      </c>
      <c r="I239" s="56">
        <f t="shared" si="39"/>
        <v>11.927272727272728</v>
      </c>
      <c r="J239" s="56">
        <f>I239*0.5</f>
        <v>5.9636363636363638</v>
      </c>
      <c r="K239" s="303">
        <f t="shared" si="37"/>
        <v>0</v>
      </c>
      <c r="L239" s="303">
        <f t="shared" si="37"/>
        <v>0</v>
      </c>
      <c r="M239" s="303">
        <f t="shared" si="37"/>
        <v>0</v>
      </c>
      <c r="N239" s="303">
        <f t="shared" si="37"/>
        <v>0</v>
      </c>
      <c r="O239" s="313" t="s">
        <v>44</v>
      </c>
      <c r="P239" s="16" t="s">
        <v>44</v>
      </c>
      <c r="Q239" s="37"/>
    </row>
    <row r="240" spans="1:28" s="52" customFormat="1" outlineLevel="1" x14ac:dyDescent="0.25">
      <c r="A240" s="53">
        <v>80</v>
      </c>
      <c r="B240" s="53">
        <v>89</v>
      </c>
      <c r="C240" s="73">
        <v>0</v>
      </c>
      <c r="D240" s="73">
        <v>0</v>
      </c>
      <c r="E240" s="73">
        <v>0</v>
      </c>
      <c r="F240" s="73">
        <v>0</v>
      </c>
      <c r="G240" s="56">
        <f t="shared" si="38"/>
        <v>18.399999999999999</v>
      </c>
      <c r="H240" s="56">
        <f>G240*0.6</f>
        <v>11.04</v>
      </c>
      <c r="I240" s="56">
        <f t="shared" si="39"/>
        <v>13.381818181818181</v>
      </c>
      <c r="J240" s="56">
        <f>I240*0.6</f>
        <v>8.0290909090909075</v>
      </c>
      <c r="K240" s="303">
        <f t="shared" si="37"/>
        <v>0</v>
      </c>
      <c r="L240" s="303">
        <f t="shared" si="37"/>
        <v>0</v>
      </c>
      <c r="M240" s="303">
        <f t="shared" si="37"/>
        <v>0</v>
      </c>
      <c r="N240" s="303">
        <f t="shared" si="37"/>
        <v>0</v>
      </c>
      <c r="O240" s="313" t="s">
        <v>44</v>
      </c>
      <c r="P240" s="16" t="s">
        <v>44</v>
      </c>
      <c r="Q240" s="37"/>
    </row>
    <row r="241" spans="1:17" s="52" customFormat="1" outlineLevel="1" x14ac:dyDescent="0.25">
      <c r="A241" s="53">
        <v>100</v>
      </c>
      <c r="B241" s="53">
        <v>108</v>
      </c>
      <c r="C241" s="73">
        <v>0</v>
      </c>
      <c r="D241" s="73">
        <v>0</v>
      </c>
      <c r="E241" s="73">
        <v>0</v>
      </c>
      <c r="F241" s="73">
        <v>0</v>
      </c>
      <c r="G241" s="56">
        <f t="shared" si="38"/>
        <v>20.2</v>
      </c>
      <c r="H241" s="56">
        <f>G241*0.6</f>
        <v>12.12</v>
      </c>
      <c r="I241" s="56">
        <f t="shared" si="39"/>
        <v>14.690909090909091</v>
      </c>
      <c r="J241" s="56">
        <f>I241*0.6</f>
        <v>8.8145454545454545</v>
      </c>
      <c r="K241" s="303">
        <f>C241*G241*$I$39*1.2/1000000*24</f>
        <v>0</v>
      </c>
      <c r="L241" s="303">
        <f t="shared" si="37"/>
        <v>0</v>
      </c>
      <c r="M241" s="303">
        <f t="shared" si="37"/>
        <v>0</v>
      </c>
      <c r="N241" s="303">
        <f t="shared" si="37"/>
        <v>0</v>
      </c>
      <c r="O241" s="313" t="s">
        <v>44</v>
      </c>
      <c r="P241" s="16" t="s">
        <v>44</v>
      </c>
      <c r="Q241" s="37"/>
    </row>
    <row r="242" spans="1:17" s="52" customFormat="1" outlineLevel="1" x14ac:dyDescent="0.25">
      <c r="A242" s="53">
        <v>125</v>
      </c>
      <c r="B242" s="53">
        <v>133</v>
      </c>
      <c r="C242" s="73">
        <v>0</v>
      </c>
      <c r="D242" s="73">
        <v>0</v>
      </c>
      <c r="E242" s="73">
        <v>0</v>
      </c>
      <c r="F242" s="73">
        <v>0</v>
      </c>
      <c r="G242" s="56">
        <f t="shared" si="38"/>
        <v>24.4</v>
      </c>
      <c r="H242" s="56">
        <f>G242*0.6</f>
        <v>14.639999999999999</v>
      </c>
      <c r="I242" s="56">
        <f t="shared" si="39"/>
        <v>17.745454545454546</v>
      </c>
      <c r="J242" s="56">
        <f>I242*0.6</f>
        <v>10.647272727272727</v>
      </c>
      <c r="K242" s="303">
        <f t="shared" si="37"/>
        <v>0</v>
      </c>
      <c r="L242" s="303">
        <f t="shared" si="37"/>
        <v>0</v>
      </c>
      <c r="M242" s="303">
        <f t="shared" si="37"/>
        <v>0</v>
      </c>
      <c r="N242" s="303">
        <f t="shared" si="37"/>
        <v>0</v>
      </c>
      <c r="O242" s="313" t="s">
        <v>44</v>
      </c>
      <c r="P242" s="16" t="s">
        <v>44</v>
      </c>
      <c r="Q242" s="37">
        <v>2</v>
      </c>
    </row>
    <row r="243" spans="1:17" s="52" customFormat="1" outlineLevel="1" x14ac:dyDescent="0.25">
      <c r="A243" s="53">
        <v>150</v>
      </c>
      <c r="B243" s="53">
        <v>159</v>
      </c>
      <c r="C243" s="73">
        <v>0</v>
      </c>
      <c r="D243" s="73">
        <v>0</v>
      </c>
      <c r="E243" s="73">
        <v>0</v>
      </c>
      <c r="F243" s="73">
        <v>0</v>
      </c>
      <c r="G243" s="56">
        <f t="shared" si="38"/>
        <v>24.8</v>
      </c>
      <c r="H243" s="56">
        <f>G243*0.6</f>
        <v>14.879999999999999</v>
      </c>
      <c r="I243" s="56">
        <f t="shared" si="39"/>
        <v>18.036363636363635</v>
      </c>
      <c r="J243" s="56">
        <f>I243*0.6</f>
        <v>10.82181818181818</v>
      </c>
      <c r="K243" s="303">
        <f>C243*G243*$I$39*1.15/1000000*24</f>
        <v>0</v>
      </c>
      <c r="L243" s="303">
        <f>D243*H243*$I$39*1.15/1000000*24</f>
        <v>0</v>
      </c>
      <c r="M243" s="303">
        <f>E243*I243*$I$39*1.15/1000000*24</f>
        <v>0</v>
      </c>
      <c r="N243" s="303">
        <f>F243*J243*$I$39*1.15/1000000*24</f>
        <v>0</v>
      </c>
      <c r="O243" s="313" t="s">
        <v>44</v>
      </c>
      <c r="P243" s="16" t="s">
        <v>44</v>
      </c>
      <c r="Q243" s="37"/>
    </row>
    <row r="244" spans="1:17" s="52" customFormat="1" outlineLevel="1" x14ac:dyDescent="0.25">
      <c r="A244" s="53">
        <v>200</v>
      </c>
      <c r="B244" s="53">
        <v>219</v>
      </c>
      <c r="C244" s="73">
        <v>0</v>
      </c>
      <c r="D244" s="73">
        <v>0</v>
      </c>
      <c r="E244" s="73">
        <v>0</v>
      </c>
      <c r="F244" s="73">
        <v>0</v>
      </c>
      <c r="G244" s="56">
        <f t="shared" si="38"/>
        <v>30</v>
      </c>
      <c r="H244" s="56">
        <f>G244*0.7</f>
        <v>21</v>
      </c>
      <c r="I244" s="56">
        <f t="shared" si="39"/>
        <v>21.818181818181817</v>
      </c>
      <c r="J244" s="56">
        <f>I244*0.7</f>
        <v>15.27272727272727</v>
      </c>
      <c r="K244" s="303">
        <f t="shared" ref="K244:N255" si="40">C244*G244*$I$39*1.15/1000000*24</f>
        <v>0</v>
      </c>
      <c r="L244" s="303">
        <f t="shared" si="40"/>
        <v>0</v>
      </c>
      <c r="M244" s="303">
        <f t="shared" si="40"/>
        <v>0</v>
      </c>
      <c r="N244" s="303">
        <f t="shared" si="40"/>
        <v>0</v>
      </c>
      <c r="O244" s="313" t="s">
        <v>44</v>
      </c>
      <c r="P244" s="16" t="s">
        <v>44</v>
      </c>
      <c r="Q244" s="37"/>
    </row>
    <row r="245" spans="1:17" s="52" customFormat="1" outlineLevel="1" x14ac:dyDescent="0.25">
      <c r="A245" s="53">
        <v>250</v>
      </c>
      <c r="B245" s="53">
        <v>273</v>
      </c>
      <c r="C245" s="73">
        <v>0</v>
      </c>
      <c r="D245" s="73">
        <v>0</v>
      </c>
      <c r="E245" s="73">
        <v>0</v>
      </c>
      <c r="F245" s="73">
        <v>0</v>
      </c>
      <c r="G245" s="56">
        <f t="shared" si="38"/>
        <v>33.6</v>
      </c>
      <c r="H245" s="56">
        <f>G245*0.7</f>
        <v>23.52</v>
      </c>
      <c r="I245" s="56">
        <f t="shared" si="39"/>
        <v>24.436363636363637</v>
      </c>
      <c r="J245" s="56">
        <f>I245*0.7</f>
        <v>17.105454545454545</v>
      </c>
      <c r="K245" s="303">
        <f t="shared" si="40"/>
        <v>0</v>
      </c>
      <c r="L245" s="303">
        <f t="shared" si="40"/>
        <v>0</v>
      </c>
      <c r="M245" s="303">
        <f t="shared" si="40"/>
        <v>0</v>
      </c>
      <c r="N245" s="303">
        <f t="shared" si="40"/>
        <v>0</v>
      </c>
      <c r="O245" s="313" t="s">
        <v>44</v>
      </c>
      <c r="P245" s="16" t="s">
        <v>44</v>
      </c>
      <c r="Q245" s="37"/>
    </row>
    <row r="246" spans="1:17" s="52" customFormat="1" outlineLevel="1" x14ac:dyDescent="0.25">
      <c r="A246" s="53">
        <v>300</v>
      </c>
      <c r="B246" s="53">
        <v>325</v>
      </c>
      <c r="C246" s="73">
        <v>0</v>
      </c>
      <c r="D246" s="73">
        <v>0</v>
      </c>
      <c r="E246" s="73">
        <v>0</v>
      </c>
      <c r="F246" s="73">
        <v>0</v>
      </c>
      <c r="G246" s="56">
        <f t="shared" si="38"/>
        <v>38</v>
      </c>
      <c r="H246" s="56">
        <f>G246*0.7</f>
        <v>26.599999999999998</v>
      </c>
      <c r="I246" s="56">
        <f t="shared" si="39"/>
        <v>27.636363636363637</v>
      </c>
      <c r="J246" s="56">
        <f>I246*0.7</f>
        <v>19.345454545454544</v>
      </c>
      <c r="K246" s="303">
        <f t="shared" si="40"/>
        <v>0</v>
      </c>
      <c r="L246" s="303">
        <f t="shared" si="40"/>
        <v>0</v>
      </c>
      <c r="M246" s="303">
        <f t="shared" si="40"/>
        <v>0</v>
      </c>
      <c r="N246" s="303">
        <f t="shared" si="40"/>
        <v>0</v>
      </c>
      <c r="O246" s="313" t="s">
        <v>44</v>
      </c>
      <c r="P246" s="16" t="s">
        <v>44</v>
      </c>
      <c r="Q246" s="37"/>
    </row>
    <row r="247" spans="1:17" s="52" customFormat="1" outlineLevel="1" x14ac:dyDescent="0.25">
      <c r="A247" s="53">
        <v>350</v>
      </c>
      <c r="B247" s="53">
        <v>377</v>
      </c>
      <c r="C247" s="73">
        <v>0</v>
      </c>
      <c r="D247" s="73">
        <v>0</v>
      </c>
      <c r="E247" s="73">
        <v>0</v>
      </c>
      <c r="F247" s="73">
        <v>0</v>
      </c>
      <c r="G247" s="56">
        <f t="shared" si="38"/>
        <v>43</v>
      </c>
      <c r="H247" s="56">
        <f t="shared" ref="H247:H255" si="41">G247*0.8</f>
        <v>34.4</v>
      </c>
      <c r="I247" s="56">
        <f t="shared" si="39"/>
        <v>31.272727272727273</v>
      </c>
      <c r="J247" s="56">
        <f t="shared" ref="J247:J255" si="42">I247*0.8</f>
        <v>25.018181818181819</v>
      </c>
      <c r="K247" s="303">
        <f t="shared" si="40"/>
        <v>0</v>
      </c>
      <c r="L247" s="303">
        <f t="shared" si="40"/>
        <v>0</v>
      </c>
      <c r="M247" s="303">
        <f t="shared" si="40"/>
        <v>0</v>
      </c>
      <c r="N247" s="303">
        <f t="shared" si="40"/>
        <v>0</v>
      </c>
      <c r="O247" s="313" t="s">
        <v>44</v>
      </c>
      <c r="P247" s="16" t="s">
        <v>44</v>
      </c>
      <c r="Q247" s="37"/>
    </row>
    <row r="248" spans="1:17" s="52" customFormat="1" outlineLevel="1" x14ac:dyDescent="0.25">
      <c r="A248" s="53">
        <v>400</v>
      </c>
      <c r="B248" s="53">
        <v>426</v>
      </c>
      <c r="C248" s="73">
        <v>0</v>
      </c>
      <c r="D248" s="73">
        <v>0</v>
      </c>
      <c r="E248" s="73">
        <v>0</v>
      </c>
      <c r="F248" s="73">
        <v>0</v>
      </c>
      <c r="G248" s="56">
        <f t="shared" si="38"/>
        <v>43.6</v>
      </c>
      <c r="H248" s="56">
        <f t="shared" si="41"/>
        <v>34.880000000000003</v>
      </c>
      <c r="I248" s="56">
        <f t="shared" si="39"/>
        <v>31.709090909090911</v>
      </c>
      <c r="J248" s="56">
        <f t="shared" si="42"/>
        <v>25.367272727272731</v>
      </c>
      <c r="K248" s="303">
        <f t="shared" si="40"/>
        <v>0</v>
      </c>
      <c r="L248" s="303">
        <f t="shared" si="40"/>
        <v>0</v>
      </c>
      <c r="M248" s="303">
        <f t="shared" si="40"/>
        <v>0</v>
      </c>
      <c r="N248" s="303">
        <f t="shared" si="40"/>
        <v>0</v>
      </c>
      <c r="O248" s="313" t="s">
        <v>44</v>
      </c>
      <c r="P248" s="16" t="s">
        <v>44</v>
      </c>
      <c r="Q248" s="37"/>
    </row>
    <row r="249" spans="1:17" s="52" customFormat="1" outlineLevel="1" x14ac:dyDescent="0.25">
      <c r="A249" s="53">
        <v>450</v>
      </c>
      <c r="B249" s="53">
        <v>478</v>
      </c>
      <c r="C249" s="73">
        <v>0</v>
      </c>
      <c r="D249" s="73">
        <v>0</v>
      </c>
      <c r="E249" s="73">
        <v>0</v>
      </c>
      <c r="F249" s="73">
        <v>0</v>
      </c>
      <c r="G249" s="56">
        <f t="shared" si="38"/>
        <v>51.4</v>
      </c>
      <c r="H249" s="56">
        <f t="shared" si="41"/>
        <v>41.120000000000005</v>
      </c>
      <c r="I249" s="56">
        <f t="shared" si="39"/>
        <v>37.381818181818183</v>
      </c>
      <c r="J249" s="56">
        <f t="shared" si="42"/>
        <v>29.905454545454546</v>
      </c>
      <c r="K249" s="303">
        <f t="shared" si="40"/>
        <v>0</v>
      </c>
      <c r="L249" s="303">
        <f t="shared" si="40"/>
        <v>0</v>
      </c>
      <c r="M249" s="303">
        <f t="shared" si="40"/>
        <v>0</v>
      </c>
      <c r="N249" s="303">
        <f t="shared" si="40"/>
        <v>0</v>
      </c>
      <c r="O249" s="313" t="s">
        <v>44</v>
      </c>
      <c r="P249" s="16" t="s">
        <v>44</v>
      </c>
      <c r="Q249" s="37"/>
    </row>
    <row r="250" spans="1:17" s="52" customFormat="1" outlineLevel="1" x14ac:dyDescent="0.25">
      <c r="A250" s="53">
        <v>500</v>
      </c>
      <c r="B250" s="53">
        <v>529</v>
      </c>
      <c r="C250" s="73">
        <v>0</v>
      </c>
      <c r="D250" s="73">
        <v>0</v>
      </c>
      <c r="E250" s="73">
        <v>0</v>
      </c>
      <c r="F250" s="73">
        <v>0</v>
      </c>
      <c r="G250" s="56">
        <f t="shared" si="38"/>
        <v>50</v>
      </c>
      <c r="H250" s="56">
        <f t="shared" si="41"/>
        <v>40</v>
      </c>
      <c r="I250" s="56">
        <f t="shared" si="39"/>
        <v>36.363636363636367</v>
      </c>
      <c r="J250" s="56">
        <f t="shared" si="42"/>
        <v>29.090909090909093</v>
      </c>
      <c r="K250" s="303">
        <f t="shared" si="40"/>
        <v>0</v>
      </c>
      <c r="L250" s="303">
        <f t="shared" si="40"/>
        <v>0</v>
      </c>
      <c r="M250" s="303">
        <f t="shared" si="40"/>
        <v>0</v>
      </c>
      <c r="N250" s="303">
        <f t="shared" si="40"/>
        <v>0</v>
      </c>
      <c r="O250" s="313" t="s">
        <v>44</v>
      </c>
      <c r="P250" s="16" t="s">
        <v>44</v>
      </c>
      <c r="Q250" s="37"/>
    </row>
    <row r="251" spans="1:17" s="52" customFormat="1" outlineLevel="1" x14ac:dyDescent="0.25">
      <c r="A251" s="53">
        <v>600</v>
      </c>
      <c r="B251" s="53">
        <v>630</v>
      </c>
      <c r="C251" s="73">
        <v>0</v>
      </c>
      <c r="D251" s="73">
        <v>0</v>
      </c>
      <c r="E251" s="73">
        <v>0</v>
      </c>
      <c r="F251" s="73">
        <v>0</v>
      </c>
      <c r="G251" s="56">
        <f t="shared" si="38"/>
        <v>61</v>
      </c>
      <c r="H251" s="56">
        <f t="shared" si="41"/>
        <v>48.800000000000004</v>
      </c>
      <c r="I251" s="56">
        <f t="shared" si="39"/>
        <v>44.363636363636367</v>
      </c>
      <c r="J251" s="56">
        <f t="shared" si="42"/>
        <v>35.490909090909092</v>
      </c>
      <c r="K251" s="303">
        <f t="shared" si="40"/>
        <v>0</v>
      </c>
      <c r="L251" s="303">
        <f t="shared" si="40"/>
        <v>0</v>
      </c>
      <c r="M251" s="303">
        <f t="shared" si="40"/>
        <v>0</v>
      </c>
      <c r="N251" s="303">
        <f t="shared" si="40"/>
        <v>0</v>
      </c>
      <c r="O251" s="313" t="s">
        <v>44</v>
      </c>
      <c r="P251" s="16" t="s">
        <v>44</v>
      </c>
      <c r="Q251" s="37"/>
    </row>
    <row r="252" spans="1:17" s="52" customFormat="1" outlineLevel="1" x14ac:dyDescent="0.25">
      <c r="A252" s="53">
        <v>700</v>
      </c>
      <c r="B252" s="53">
        <v>720</v>
      </c>
      <c r="C252" s="73">
        <v>0</v>
      </c>
      <c r="D252" s="73">
        <v>0</v>
      </c>
      <c r="E252" s="73">
        <v>0</v>
      </c>
      <c r="F252" s="73">
        <v>0</v>
      </c>
      <c r="G252" s="56">
        <f t="shared" si="38"/>
        <v>66.8</v>
      </c>
      <c r="H252" s="56">
        <f t="shared" si="41"/>
        <v>53.44</v>
      </c>
      <c r="I252" s="56">
        <f t="shared" si="39"/>
        <v>48.581818181818178</v>
      </c>
      <c r="J252" s="56">
        <f t="shared" si="42"/>
        <v>38.865454545454547</v>
      </c>
      <c r="K252" s="303">
        <f t="shared" si="40"/>
        <v>0</v>
      </c>
      <c r="L252" s="303">
        <f t="shared" si="40"/>
        <v>0</v>
      </c>
      <c r="M252" s="303">
        <f t="shared" si="40"/>
        <v>0</v>
      </c>
      <c r="N252" s="303">
        <f t="shared" si="40"/>
        <v>0</v>
      </c>
      <c r="O252" s="313" t="s">
        <v>44</v>
      </c>
      <c r="P252" s="16" t="s">
        <v>44</v>
      </c>
      <c r="Q252" s="37"/>
    </row>
    <row r="253" spans="1:17" s="52" customFormat="1" outlineLevel="1" x14ac:dyDescent="0.25">
      <c r="A253" s="53">
        <v>800</v>
      </c>
      <c r="B253" s="53">
        <v>820</v>
      </c>
      <c r="C253" s="73">
        <v>0</v>
      </c>
      <c r="D253" s="73">
        <v>0</v>
      </c>
      <c r="E253" s="73">
        <v>0</v>
      </c>
      <c r="F253" s="73">
        <v>0</v>
      </c>
      <c r="G253" s="56">
        <f t="shared" si="38"/>
        <v>76</v>
      </c>
      <c r="H253" s="56">
        <f t="shared" si="41"/>
        <v>60.800000000000004</v>
      </c>
      <c r="I253" s="56">
        <f t="shared" si="39"/>
        <v>55.272727272727273</v>
      </c>
      <c r="J253" s="56">
        <f t="shared" si="42"/>
        <v>44.218181818181819</v>
      </c>
      <c r="K253" s="303">
        <f t="shared" si="40"/>
        <v>0</v>
      </c>
      <c r="L253" s="303">
        <f t="shared" si="40"/>
        <v>0</v>
      </c>
      <c r="M253" s="303">
        <f t="shared" si="40"/>
        <v>0</v>
      </c>
      <c r="N253" s="303">
        <f t="shared" si="40"/>
        <v>0</v>
      </c>
      <c r="O253" s="313" t="s">
        <v>44</v>
      </c>
      <c r="P253" s="16" t="s">
        <v>44</v>
      </c>
      <c r="Q253" s="37"/>
    </row>
    <row r="254" spans="1:17" s="52" customFormat="1" outlineLevel="1" x14ac:dyDescent="0.25">
      <c r="A254" s="53">
        <v>900</v>
      </c>
      <c r="B254" s="53">
        <v>920</v>
      </c>
      <c r="C254" s="73">
        <v>0</v>
      </c>
      <c r="D254" s="73">
        <v>0</v>
      </c>
      <c r="E254" s="73">
        <v>0</v>
      </c>
      <c r="F254" s="73">
        <v>0</v>
      </c>
      <c r="G254" s="56">
        <f t="shared" si="38"/>
        <v>79</v>
      </c>
      <c r="H254" s="56">
        <f t="shared" si="41"/>
        <v>63.2</v>
      </c>
      <c r="I254" s="56">
        <f t="shared" si="39"/>
        <v>57.454545454545453</v>
      </c>
      <c r="J254" s="56">
        <f t="shared" si="42"/>
        <v>45.963636363636368</v>
      </c>
      <c r="K254" s="303">
        <f t="shared" si="40"/>
        <v>0</v>
      </c>
      <c r="L254" s="303">
        <f t="shared" si="40"/>
        <v>0</v>
      </c>
      <c r="M254" s="303">
        <f t="shared" si="40"/>
        <v>0</v>
      </c>
      <c r="N254" s="303">
        <f t="shared" si="40"/>
        <v>0</v>
      </c>
      <c r="O254" s="313" t="s">
        <v>44</v>
      </c>
      <c r="P254" s="16" t="s">
        <v>44</v>
      </c>
      <c r="Q254" s="37"/>
    </row>
    <row r="255" spans="1:17" s="52" customFormat="1" outlineLevel="1" x14ac:dyDescent="0.25">
      <c r="A255" s="53">
        <v>1000</v>
      </c>
      <c r="B255" s="53">
        <v>1020</v>
      </c>
      <c r="C255" s="73">
        <v>0</v>
      </c>
      <c r="D255" s="73">
        <v>0</v>
      </c>
      <c r="E255" s="73">
        <v>0</v>
      </c>
      <c r="F255" s="73">
        <v>0</v>
      </c>
      <c r="G255" s="56">
        <f t="shared" si="38"/>
        <v>92.4</v>
      </c>
      <c r="H255" s="56">
        <f t="shared" si="41"/>
        <v>73.92</v>
      </c>
      <c r="I255" s="56">
        <f t="shared" si="39"/>
        <v>67.2</v>
      </c>
      <c r="J255" s="56">
        <f t="shared" si="42"/>
        <v>53.760000000000005</v>
      </c>
      <c r="K255" s="303">
        <f t="shared" si="40"/>
        <v>0</v>
      </c>
      <c r="L255" s="303">
        <f t="shared" si="40"/>
        <v>0</v>
      </c>
      <c r="M255" s="303">
        <f t="shared" si="40"/>
        <v>0</v>
      </c>
      <c r="N255" s="303">
        <f t="shared" si="40"/>
        <v>0</v>
      </c>
      <c r="O255" s="313" t="s">
        <v>44</v>
      </c>
      <c r="P255" s="16" t="s">
        <v>44</v>
      </c>
      <c r="Q255" s="37"/>
    </row>
    <row r="256" spans="1:17" s="30" customFormat="1" ht="42" customHeight="1" thickBot="1" x14ac:dyDescent="0.3">
      <c r="A256" s="400" t="s">
        <v>58</v>
      </c>
      <c r="B256" s="401"/>
      <c r="C256" s="28">
        <f>SUM(C236:C255)</f>
        <v>0</v>
      </c>
      <c r="D256" s="28">
        <f>SUM(D236:D255)</f>
        <v>0</v>
      </c>
      <c r="E256" s="28">
        <f>SUM(E236:E255)</f>
        <v>0</v>
      </c>
      <c r="F256" s="28">
        <f>SUM(F236:F255)</f>
        <v>0</v>
      </c>
      <c r="G256" s="15">
        <f>IF(C256=0,0,SUMPRODUCT(C236:C255,G236:G255)/C256)</f>
        <v>0</v>
      </c>
      <c r="H256" s="15">
        <f>IF(D256=0,0,SUMPRODUCT(D236:D255,H236:H255)/D256)</f>
        <v>0</v>
      </c>
      <c r="I256" s="15">
        <f>IF(E256=0,0,SUMPRODUCT(E236:E255,I236:I255)/E256)</f>
        <v>0</v>
      </c>
      <c r="J256" s="15">
        <f>IF(F256=0,0,SUMPRODUCT(F236:F255,J236:J255)/F256)</f>
        <v>0</v>
      </c>
      <c r="K256" s="305">
        <f>SUM(K236:K255)</f>
        <v>0</v>
      </c>
      <c r="L256" s="305">
        <f>SUM(L236:L255)</f>
        <v>0</v>
      </c>
      <c r="M256" s="305">
        <f>SUM(M236:M255)</f>
        <v>0</v>
      </c>
      <c r="N256" s="305">
        <f>SUM(N236:N255)</f>
        <v>0</v>
      </c>
      <c r="O256" s="308" t="s">
        <v>44</v>
      </c>
      <c r="P256" s="17" t="s">
        <v>44</v>
      </c>
      <c r="Q256" s="29"/>
    </row>
    <row r="257" spans="1:28" s="54" customFormat="1" ht="32.25" hidden="1" customHeight="1" x14ac:dyDescent="0.25">
      <c r="A257" s="428" t="s">
        <v>68</v>
      </c>
      <c r="B257" s="428"/>
      <c r="C257" s="428"/>
      <c r="D257" s="428"/>
      <c r="E257" s="428"/>
      <c r="F257" s="428"/>
      <c r="G257" s="428"/>
      <c r="H257" s="428"/>
      <c r="I257" s="428"/>
      <c r="J257" s="428"/>
      <c r="K257" s="428"/>
      <c r="L257" s="428"/>
      <c r="M257" s="428"/>
      <c r="N257" s="428"/>
      <c r="O257" s="428"/>
      <c r="P257" s="428"/>
      <c r="Q257" s="74"/>
    </row>
    <row r="258" spans="1:28" s="24" customFormat="1" ht="110.25" hidden="1" customHeight="1" x14ac:dyDescent="0.25">
      <c r="A258" s="24" t="s">
        <v>26</v>
      </c>
      <c r="B258" s="24" t="s">
        <v>27</v>
      </c>
      <c r="C258" s="24" t="s">
        <v>54</v>
      </c>
      <c r="D258" s="24" t="s">
        <v>55</v>
      </c>
      <c r="E258" s="24" t="s">
        <v>56</v>
      </c>
      <c r="F258" s="24" t="s">
        <v>57</v>
      </c>
      <c r="G258" s="24" t="s">
        <v>147</v>
      </c>
      <c r="H258" s="24" t="s">
        <v>148</v>
      </c>
      <c r="I258" s="24" t="s">
        <v>149</v>
      </c>
      <c r="J258" s="24" t="s">
        <v>150</v>
      </c>
      <c r="K258" s="307" t="s">
        <v>151</v>
      </c>
      <c r="L258" s="307" t="s">
        <v>152</v>
      </c>
      <c r="M258" s="307" t="s">
        <v>153</v>
      </c>
      <c r="N258" s="307" t="s">
        <v>154</v>
      </c>
      <c r="O258" s="308" t="s">
        <v>38</v>
      </c>
      <c r="P258" s="17" t="s">
        <v>39</v>
      </c>
      <c r="Q258" s="21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3"/>
    </row>
    <row r="259" spans="1:28" s="22" customFormat="1" ht="14.25" hidden="1" x14ac:dyDescent="0.25">
      <c r="A259" s="25" t="s">
        <v>40</v>
      </c>
      <c r="B259" s="25" t="s">
        <v>40</v>
      </c>
      <c r="C259" s="25" t="s">
        <v>41</v>
      </c>
      <c r="D259" s="25" t="s">
        <v>41</v>
      </c>
      <c r="E259" s="25" t="s">
        <v>41</v>
      </c>
      <c r="F259" s="25" t="s">
        <v>41</v>
      </c>
      <c r="G259" s="25" t="s">
        <v>42</v>
      </c>
      <c r="H259" s="25" t="s">
        <v>42</v>
      </c>
      <c r="I259" s="25" t="s">
        <v>42</v>
      </c>
      <c r="J259" s="25" t="s">
        <v>42</v>
      </c>
      <c r="K259" s="301" t="s">
        <v>15</v>
      </c>
      <c r="L259" s="301" t="s">
        <v>15</v>
      </c>
      <c r="M259" s="301" t="s">
        <v>15</v>
      </c>
      <c r="N259" s="301" t="s">
        <v>15</v>
      </c>
      <c r="O259" s="302"/>
      <c r="P259" s="26"/>
      <c r="Q259" s="27"/>
    </row>
    <row r="260" spans="1:28" s="52" customFormat="1" hidden="1" outlineLevel="1" x14ac:dyDescent="0.25">
      <c r="A260" s="53">
        <v>25</v>
      </c>
      <c r="B260" s="53">
        <v>32</v>
      </c>
      <c r="C260" s="73">
        <v>0</v>
      </c>
      <c r="D260" s="73">
        <v>0</v>
      </c>
      <c r="E260" s="73">
        <v>0</v>
      </c>
      <c r="F260" s="73">
        <v>0</v>
      </c>
      <c r="G260" s="56">
        <f>(U9-S9)/25*(55-65)+S9</f>
        <v>28.6</v>
      </c>
      <c r="H260" s="56">
        <f>G260*0.5</f>
        <v>14.3</v>
      </c>
      <c r="I260" s="56">
        <f>G260*40/55</f>
        <v>20.8</v>
      </c>
      <c r="J260" s="56">
        <f>I260*0.5</f>
        <v>10.4</v>
      </c>
      <c r="K260" s="303">
        <f>C260*G260*$I$39*1.15/1000000*24</f>
        <v>0</v>
      </c>
      <c r="L260" s="303">
        <f>D260*H260*$I$39*1.15/1000000*24</f>
        <v>0</v>
      </c>
      <c r="M260" s="303">
        <f>E260*I260*$I$39*1.15/1000000*24</f>
        <v>0</v>
      </c>
      <c r="N260" s="303">
        <f>F260*J260*$I$39*1.15/1000000*24</f>
        <v>0</v>
      </c>
      <c r="O260" s="313" t="s">
        <v>44</v>
      </c>
      <c r="P260" s="16" t="s">
        <v>44</v>
      </c>
      <c r="Q260" s="37"/>
    </row>
    <row r="261" spans="1:28" s="52" customFormat="1" hidden="1" outlineLevel="1" x14ac:dyDescent="0.25">
      <c r="A261" s="53">
        <v>40</v>
      </c>
      <c r="B261" s="53">
        <v>45</v>
      </c>
      <c r="C261" s="73">
        <v>0</v>
      </c>
      <c r="D261" s="73">
        <v>0</v>
      </c>
      <c r="E261" s="73">
        <v>0</v>
      </c>
      <c r="F261" s="73">
        <v>0</v>
      </c>
      <c r="G261" s="56">
        <f t="shared" ref="G261:G277" si="43">(U10-S10)/25*(55-65)+S10</f>
        <v>31.5</v>
      </c>
      <c r="H261" s="56">
        <f>G261*0.5</f>
        <v>15.75</v>
      </c>
      <c r="I261" s="56">
        <f t="shared" ref="I261:I277" si="44">G261*40/55</f>
        <v>22.90909090909091</v>
      </c>
      <c r="J261" s="56">
        <f>I261*0.5</f>
        <v>11.454545454545455</v>
      </c>
      <c r="K261" s="303">
        <f t="shared" ref="K261:N279" si="45">C261*G261*$I$39*1.15/1000000*24</f>
        <v>0</v>
      </c>
      <c r="L261" s="303">
        <f t="shared" si="45"/>
        <v>0</v>
      </c>
      <c r="M261" s="303">
        <f t="shared" si="45"/>
        <v>0</v>
      </c>
      <c r="N261" s="303">
        <f t="shared" si="45"/>
        <v>0</v>
      </c>
      <c r="O261" s="313" t="s">
        <v>44</v>
      </c>
      <c r="P261" s="16" t="s">
        <v>44</v>
      </c>
      <c r="Q261" s="37"/>
    </row>
    <row r="262" spans="1:28" s="52" customFormat="1" hidden="1" outlineLevel="1" x14ac:dyDescent="0.25">
      <c r="A262" s="53">
        <v>50</v>
      </c>
      <c r="B262" s="53">
        <v>57</v>
      </c>
      <c r="C262" s="73">
        <v>0</v>
      </c>
      <c r="D262" s="73">
        <v>0</v>
      </c>
      <c r="E262" s="73">
        <v>0</v>
      </c>
      <c r="F262" s="73">
        <v>0</v>
      </c>
      <c r="G262" s="56">
        <f t="shared" si="43"/>
        <v>34.4</v>
      </c>
      <c r="H262" s="56">
        <f>G262*0.5</f>
        <v>17.2</v>
      </c>
      <c r="I262" s="56">
        <f t="shared" si="44"/>
        <v>25.018181818181819</v>
      </c>
      <c r="J262" s="56">
        <f>I262*0.5</f>
        <v>12.50909090909091</v>
      </c>
      <c r="K262" s="303">
        <f t="shared" si="45"/>
        <v>0</v>
      </c>
      <c r="L262" s="303">
        <f t="shared" si="45"/>
        <v>0</v>
      </c>
      <c r="M262" s="303">
        <f t="shared" si="45"/>
        <v>0</v>
      </c>
      <c r="N262" s="303">
        <f t="shared" si="45"/>
        <v>0</v>
      </c>
      <c r="O262" s="313" t="s">
        <v>44</v>
      </c>
      <c r="P262" s="16" t="s">
        <v>44</v>
      </c>
      <c r="Q262" s="37"/>
    </row>
    <row r="263" spans="1:28" s="52" customFormat="1" hidden="1" outlineLevel="1" x14ac:dyDescent="0.25">
      <c r="A263" s="53">
        <v>65</v>
      </c>
      <c r="B263" s="53">
        <v>76</v>
      </c>
      <c r="C263" s="73">
        <v>0</v>
      </c>
      <c r="D263" s="73">
        <v>0</v>
      </c>
      <c r="E263" s="73">
        <v>0</v>
      </c>
      <c r="F263" s="73">
        <v>0</v>
      </c>
      <c r="G263" s="56">
        <f t="shared" si="43"/>
        <v>39</v>
      </c>
      <c r="H263" s="56">
        <f>G263*0.5</f>
        <v>19.5</v>
      </c>
      <c r="I263" s="56">
        <f t="shared" si="44"/>
        <v>28.363636363636363</v>
      </c>
      <c r="J263" s="56">
        <f>I263*0.5</f>
        <v>14.181818181818182</v>
      </c>
      <c r="K263" s="303">
        <f t="shared" si="45"/>
        <v>0</v>
      </c>
      <c r="L263" s="303">
        <f t="shared" si="45"/>
        <v>0</v>
      </c>
      <c r="M263" s="303">
        <f t="shared" si="45"/>
        <v>0</v>
      </c>
      <c r="N263" s="303">
        <f t="shared" si="45"/>
        <v>0</v>
      </c>
      <c r="O263" s="313" t="s">
        <v>44</v>
      </c>
      <c r="P263" s="16" t="s">
        <v>44</v>
      </c>
      <c r="Q263" s="37"/>
    </row>
    <row r="264" spans="1:28" s="52" customFormat="1" hidden="1" outlineLevel="1" x14ac:dyDescent="0.25">
      <c r="A264" s="53">
        <v>80</v>
      </c>
      <c r="B264" s="53">
        <v>89</v>
      </c>
      <c r="C264" s="73">
        <v>0</v>
      </c>
      <c r="D264" s="73">
        <v>0</v>
      </c>
      <c r="E264" s="73">
        <v>0</v>
      </c>
      <c r="F264" s="73">
        <v>0</v>
      </c>
      <c r="G264" s="56">
        <f t="shared" si="43"/>
        <v>40</v>
      </c>
      <c r="H264" s="56">
        <f>G264*0.6</f>
        <v>24</v>
      </c>
      <c r="I264" s="56">
        <f t="shared" si="44"/>
        <v>29.09090909090909</v>
      </c>
      <c r="J264" s="56">
        <f>I264*0.6</f>
        <v>17.454545454545453</v>
      </c>
      <c r="K264" s="303">
        <f t="shared" si="45"/>
        <v>0</v>
      </c>
      <c r="L264" s="303">
        <f t="shared" si="45"/>
        <v>0</v>
      </c>
      <c r="M264" s="303">
        <f t="shared" si="45"/>
        <v>0</v>
      </c>
      <c r="N264" s="303">
        <f t="shared" si="45"/>
        <v>0</v>
      </c>
      <c r="O264" s="313" t="s">
        <v>44</v>
      </c>
      <c r="P264" s="16" t="s">
        <v>44</v>
      </c>
      <c r="Q264" s="37"/>
    </row>
    <row r="265" spans="1:28" s="52" customFormat="1" hidden="1" outlineLevel="1" x14ac:dyDescent="0.25">
      <c r="A265" s="53">
        <v>100</v>
      </c>
      <c r="B265" s="53">
        <v>108</v>
      </c>
      <c r="C265" s="73">
        <v>0</v>
      </c>
      <c r="D265" s="73">
        <v>0</v>
      </c>
      <c r="E265" s="73">
        <v>0</v>
      </c>
      <c r="F265" s="73">
        <v>0</v>
      </c>
      <c r="G265" s="56">
        <f t="shared" si="43"/>
        <v>42.6</v>
      </c>
      <c r="H265" s="56">
        <f>G265*0.6</f>
        <v>25.56</v>
      </c>
      <c r="I265" s="56">
        <f t="shared" si="44"/>
        <v>30.981818181818181</v>
      </c>
      <c r="J265" s="56">
        <f>I265*0.6</f>
        <v>18.589090909090906</v>
      </c>
      <c r="K265" s="303">
        <f t="shared" si="45"/>
        <v>0</v>
      </c>
      <c r="L265" s="303">
        <f t="shared" si="45"/>
        <v>0</v>
      </c>
      <c r="M265" s="303">
        <f t="shared" si="45"/>
        <v>0</v>
      </c>
      <c r="N265" s="303">
        <f t="shared" si="45"/>
        <v>0</v>
      </c>
      <c r="O265" s="313" t="s">
        <v>44</v>
      </c>
      <c r="P265" s="16" t="s">
        <v>44</v>
      </c>
      <c r="Q265" s="37"/>
    </row>
    <row r="266" spans="1:28" s="52" customFormat="1" hidden="1" outlineLevel="1" x14ac:dyDescent="0.25">
      <c r="A266" s="53">
        <v>125</v>
      </c>
      <c r="B266" s="53">
        <v>133</v>
      </c>
      <c r="C266" s="73">
        <v>0</v>
      </c>
      <c r="D266" s="73">
        <v>0</v>
      </c>
      <c r="E266" s="73">
        <v>0</v>
      </c>
      <c r="F266" s="73">
        <v>0</v>
      </c>
      <c r="G266" s="56">
        <f t="shared" si="43"/>
        <v>45.4</v>
      </c>
      <c r="H266" s="56">
        <f>G266*0.6</f>
        <v>27.24</v>
      </c>
      <c r="I266" s="56">
        <f t="shared" si="44"/>
        <v>33.018181818181816</v>
      </c>
      <c r="J266" s="56">
        <f>I266*0.6</f>
        <v>19.810909090909089</v>
      </c>
      <c r="K266" s="303">
        <f t="shared" si="45"/>
        <v>0</v>
      </c>
      <c r="L266" s="303">
        <f t="shared" si="45"/>
        <v>0</v>
      </c>
      <c r="M266" s="303">
        <f t="shared" si="45"/>
        <v>0</v>
      </c>
      <c r="N266" s="303">
        <f t="shared" si="45"/>
        <v>0</v>
      </c>
      <c r="O266" s="313" t="s">
        <v>44</v>
      </c>
      <c r="P266" s="16" t="s">
        <v>44</v>
      </c>
      <c r="Q266" s="37"/>
    </row>
    <row r="267" spans="1:28" s="52" customFormat="1" hidden="1" outlineLevel="1" x14ac:dyDescent="0.25">
      <c r="A267" s="53">
        <v>150</v>
      </c>
      <c r="B267" s="53">
        <v>159</v>
      </c>
      <c r="C267" s="73">
        <v>0</v>
      </c>
      <c r="D267" s="73">
        <v>0</v>
      </c>
      <c r="E267" s="73">
        <v>0</v>
      </c>
      <c r="F267" s="73">
        <v>0</v>
      </c>
      <c r="G267" s="56">
        <f t="shared" si="43"/>
        <v>52</v>
      </c>
      <c r="H267" s="56">
        <f>G267*0.6</f>
        <v>31.2</v>
      </c>
      <c r="I267" s="56">
        <f t="shared" si="44"/>
        <v>37.81818181818182</v>
      </c>
      <c r="J267" s="56">
        <f>I267*0.6</f>
        <v>22.690909090909091</v>
      </c>
      <c r="K267" s="303">
        <f t="shared" si="45"/>
        <v>0</v>
      </c>
      <c r="L267" s="303">
        <f t="shared" si="45"/>
        <v>0</v>
      </c>
      <c r="M267" s="303">
        <f t="shared" si="45"/>
        <v>0</v>
      </c>
      <c r="N267" s="303">
        <f t="shared" si="45"/>
        <v>0</v>
      </c>
      <c r="O267" s="313" t="s">
        <v>44</v>
      </c>
      <c r="P267" s="16" t="s">
        <v>44</v>
      </c>
      <c r="Q267" s="37"/>
    </row>
    <row r="268" spans="1:28" s="52" customFormat="1" hidden="1" outlineLevel="1" x14ac:dyDescent="0.25">
      <c r="A268" s="53">
        <v>200</v>
      </c>
      <c r="B268" s="53">
        <v>219</v>
      </c>
      <c r="C268" s="73">
        <v>0</v>
      </c>
      <c r="D268" s="73">
        <v>0</v>
      </c>
      <c r="E268" s="73">
        <v>0</v>
      </c>
      <c r="F268" s="73">
        <v>0</v>
      </c>
      <c r="G268" s="56">
        <f t="shared" si="43"/>
        <v>56.8</v>
      </c>
      <c r="H268" s="56">
        <f>G268*0.7</f>
        <v>39.76</v>
      </c>
      <c r="I268" s="56">
        <f t="shared" si="44"/>
        <v>41.309090909090912</v>
      </c>
      <c r="J268" s="56">
        <f>I268*0.7</f>
        <v>28.916363636363638</v>
      </c>
      <c r="K268" s="303">
        <f t="shared" si="45"/>
        <v>0</v>
      </c>
      <c r="L268" s="303">
        <f t="shared" si="45"/>
        <v>0</v>
      </c>
      <c r="M268" s="303">
        <f t="shared" si="45"/>
        <v>0</v>
      </c>
      <c r="N268" s="303">
        <f t="shared" si="45"/>
        <v>0</v>
      </c>
      <c r="O268" s="313" t="s">
        <v>44</v>
      </c>
      <c r="P268" s="16" t="s">
        <v>44</v>
      </c>
      <c r="Q268" s="37"/>
    </row>
    <row r="269" spans="1:28" s="52" customFormat="1" hidden="1" outlineLevel="1" x14ac:dyDescent="0.25">
      <c r="A269" s="53">
        <v>250</v>
      </c>
      <c r="B269" s="53">
        <v>273</v>
      </c>
      <c r="C269" s="73">
        <v>0</v>
      </c>
      <c r="D269" s="73">
        <v>0</v>
      </c>
      <c r="E269" s="73">
        <v>0</v>
      </c>
      <c r="F269" s="73">
        <v>0</v>
      </c>
      <c r="G269" s="56">
        <f t="shared" si="43"/>
        <v>62.4</v>
      </c>
      <c r="H269" s="56">
        <f>G269*0.7</f>
        <v>43.68</v>
      </c>
      <c r="I269" s="56">
        <f t="shared" si="44"/>
        <v>45.381818181818183</v>
      </c>
      <c r="J269" s="56">
        <f>I269*0.7</f>
        <v>31.767272727272726</v>
      </c>
      <c r="K269" s="303">
        <f t="shared" si="45"/>
        <v>0</v>
      </c>
      <c r="L269" s="303">
        <f t="shared" si="45"/>
        <v>0</v>
      </c>
      <c r="M269" s="303">
        <f t="shared" si="45"/>
        <v>0</v>
      </c>
      <c r="N269" s="303">
        <f t="shared" si="45"/>
        <v>0</v>
      </c>
      <c r="O269" s="313" t="s">
        <v>44</v>
      </c>
      <c r="P269" s="16" t="s">
        <v>44</v>
      </c>
      <c r="Q269" s="37"/>
    </row>
    <row r="270" spans="1:28" s="52" customFormat="1" hidden="1" outlineLevel="1" x14ac:dyDescent="0.25">
      <c r="A270" s="53">
        <v>300</v>
      </c>
      <c r="B270" s="53">
        <v>325</v>
      </c>
      <c r="C270" s="73">
        <v>0</v>
      </c>
      <c r="D270" s="73">
        <v>0</v>
      </c>
      <c r="E270" s="73">
        <v>0</v>
      </c>
      <c r="F270" s="73">
        <v>0</v>
      </c>
      <c r="G270" s="56">
        <f t="shared" si="43"/>
        <v>68.599999999999994</v>
      </c>
      <c r="H270" s="56">
        <f>G270*0.7</f>
        <v>48.019999999999996</v>
      </c>
      <c r="I270" s="56">
        <f t="shared" si="44"/>
        <v>49.890909090909091</v>
      </c>
      <c r="J270" s="56">
        <f>I270*0.7</f>
        <v>34.923636363636362</v>
      </c>
      <c r="K270" s="303">
        <f t="shared" si="45"/>
        <v>0</v>
      </c>
      <c r="L270" s="303">
        <f t="shared" si="45"/>
        <v>0</v>
      </c>
      <c r="M270" s="303">
        <f t="shared" si="45"/>
        <v>0</v>
      </c>
      <c r="N270" s="303">
        <f t="shared" si="45"/>
        <v>0</v>
      </c>
      <c r="O270" s="313" t="s">
        <v>44</v>
      </c>
      <c r="P270" s="16" t="s">
        <v>44</v>
      </c>
      <c r="Q270" s="37"/>
    </row>
    <row r="271" spans="1:28" s="52" customFormat="1" hidden="1" outlineLevel="1" x14ac:dyDescent="0.25">
      <c r="A271" s="53">
        <v>350</v>
      </c>
      <c r="B271" s="53">
        <v>377</v>
      </c>
      <c r="C271" s="73">
        <v>0</v>
      </c>
      <c r="D271" s="73">
        <v>0</v>
      </c>
      <c r="E271" s="73">
        <v>0</v>
      </c>
      <c r="F271" s="73">
        <v>0</v>
      </c>
      <c r="G271" s="56">
        <f t="shared" si="43"/>
        <v>75.2</v>
      </c>
      <c r="H271" s="56">
        <f t="shared" ref="H271:H277" si="46">G271*0.8</f>
        <v>60.160000000000004</v>
      </c>
      <c r="I271" s="56">
        <f t="shared" si="44"/>
        <v>54.690909090909088</v>
      </c>
      <c r="J271" s="56">
        <f t="shared" ref="J271:J279" si="47">I271*0.8</f>
        <v>43.75272727272727</v>
      </c>
      <c r="K271" s="303">
        <f t="shared" si="45"/>
        <v>0</v>
      </c>
      <c r="L271" s="303">
        <f t="shared" si="45"/>
        <v>0</v>
      </c>
      <c r="M271" s="303">
        <f t="shared" si="45"/>
        <v>0</v>
      </c>
      <c r="N271" s="303">
        <f t="shared" si="45"/>
        <v>0</v>
      </c>
      <c r="O271" s="313" t="s">
        <v>44</v>
      </c>
      <c r="P271" s="16" t="s">
        <v>44</v>
      </c>
      <c r="Q271" s="37"/>
    </row>
    <row r="272" spans="1:28" s="52" customFormat="1" hidden="1" outlineLevel="1" x14ac:dyDescent="0.25">
      <c r="A272" s="53">
        <v>400</v>
      </c>
      <c r="B272" s="53">
        <v>426</v>
      </c>
      <c r="C272" s="73">
        <v>0</v>
      </c>
      <c r="D272" s="73">
        <v>0</v>
      </c>
      <c r="E272" s="73">
        <v>0</v>
      </c>
      <c r="F272" s="73">
        <v>0</v>
      </c>
      <c r="G272" s="56">
        <f t="shared" si="43"/>
        <v>79</v>
      </c>
      <c r="H272" s="56">
        <f t="shared" si="46"/>
        <v>63.2</v>
      </c>
      <c r="I272" s="56">
        <f t="shared" si="44"/>
        <v>57.454545454545453</v>
      </c>
      <c r="J272" s="56">
        <f t="shared" si="47"/>
        <v>45.963636363636368</v>
      </c>
      <c r="K272" s="303">
        <f t="shared" si="45"/>
        <v>0</v>
      </c>
      <c r="L272" s="303">
        <f t="shared" si="45"/>
        <v>0</v>
      </c>
      <c r="M272" s="303">
        <f t="shared" si="45"/>
        <v>0</v>
      </c>
      <c r="N272" s="303">
        <f t="shared" si="45"/>
        <v>0</v>
      </c>
      <c r="O272" s="313" t="s">
        <v>44</v>
      </c>
      <c r="P272" s="16" t="s">
        <v>44</v>
      </c>
      <c r="Q272" s="37"/>
    </row>
    <row r="273" spans="1:28" s="52" customFormat="1" hidden="1" outlineLevel="1" x14ac:dyDescent="0.25">
      <c r="A273" s="53">
        <v>450</v>
      </c>
      <c r="B273" s="53">
        <v>478</v>
      </c>
      <c r="C273" s="73">
        <v>0</v>
      </c>
      <c r="D273" s="73">
        <v>0</v>
      </c>
      <c r="E273" s="73">
        <v>0</v>
      </c>
      <c r="F273" s="73">
        <v>0</v>
      </c>
      <c r="G273" s="56">
        <f t="shared" si="43"/>
        <v>84.2</v>
      </c>
      <c r="H273" s="56">
        <f t="shared" si="46"/>
        <v>67.36</v>
      </c>
      <c r="I273" s="56">
        <f t="shared" si="44"/>
        <v>61.236363636363635</v>
      </c>
      <c r="J273" s="56">
        <f t="shared" si="47"/>
        <v>48.989090909090912</v>
      </c>
      <c r="K273" s="303">
        <f t="shared" si="45"/>
        <v>0</v>
      </c>
      <c r="L273" s="303">
        <f t="shared" si="45"/>
        <v>0</v>
      </c>
      <c r="M273" s="303">
        <f t="shared" si="45"/>
        <v>0</v>
      </c>
      <c r="N273" s="303">
        <f t="shared" si="45"/>
        <v>0</v>
      </c>
      <c r="O273" s="313" t="s">
        <v>44</v>
      </c>
      <c r="P273" s="16" t="s">
        <v>44</v>
      </c>
      <c r="Q273" s="37"/>
    </row>
    <row r="274" spans="1:28" s="52" customFormat="1" hidden="1" outlineLevel="1" x14ac:dyDescent="0.25">
      <c r="A274" s="53">
        <v>500</v>
      </c>
      <c r="B274" s="53">
        <v>529</v>
      </c>
      <c r="C274" s="73">
        <v>0</v>
      </c>
      <c r="D274" s="73">
        <v>0</v>
      </c>
      <c r="E274" s="73">
        <v>0</v>
      </c>
      <c r="F274" s="73">
        <v>0</v>
      </c>
      <c r="G274" s="56">
        <f t="shared" si="43"/>
        <v>91.8</v>
      </c>
      <c r="H274" s="56">
        <f t="shared" si="46"/>
        <v>73.44</v>
      </c>
      <c r="I274" s="56">
        <f t="shared" si="44"/>
        <v>66.763636363636365</v>
      </c>
      <c r="J274" s="56">
        <f t="shared" si="47"/>
        <v>53.410909090909094</v>
      </c>
      <c r="K274" s="303">
        <f t="shared" si="45"/>
        <v>0</v>
      </c>
      <c r="L274" s="303">
        <f t="shared" si="45"/>
        <v>0</v>
      </c>
      <c r="M274" s="303">
        <f t="shared" si="45"/>
        <v>0</v>
      </c>
      <c r="N274" s="303">
        <f t="shared" si="45"/>
        <v>0</v>
      </c>
      <c r="O274" s="313" t="s">
        <v>44</v>
      </c>
      <c r="P274" s="16" t="s">
        <v>44</v>
      </c>
      <c r="Q274" s="37"/>
    </row>
    <row r="275" spans="1:28" s="52" customFormat="1" hidden="1" outlineLevel="1" x14ac:dyDescent="0.25">
      <c r="A275" s="53">
        <v>600</v>
      </c>
      <c r="B275" s="53">
        <v>630</v>
      </c>
      <c r="C275" s="73">
        <v>0</v>
      </c>
      <c r="D275" s="73">
        <v>0</v>
      </c>
      <c r="E275" s="73">
        <v>0</v>
      </c>
      <c r="F275" s="73">
        <v>0</v>
      </c>
      <c r="G275" s="56">
        <f t="shared" si="43"/>
        <v>101.4</v>
      </c>
      <c r="H275" s="56">
        <f t="shared" si="46"/>
        <v>81.12</v>
      </c>
      <c r="I275" s="56">
        <f t="shared" si="44"/>
        <v>73.74545454545455</v>
      </c>
      <c r="J275" s="56">
        <f t="shared" si="47"/>
        <v>58.99636363636364</v>
      </c>
      <c r="K275" s="303">
        <f t="shared" si="45"/>
        <v>0</v>
      </c>
      <c r="L275" s="303">
        <f t="shared" si="45"/>
        <v>0</v>
      </c>
      <c r="M275" s="303">
        <f t="shared" si="45"/>
        <v>0</v>
      </c>
      <c r="N275" s="303">
        <f t="shared" si="45"/>
        <v>0</v>
      </c>
      <c r="O275" s="313" t="s">
        <v>44</v>
      </c>
      <c r="P275" s="16" t="s">
        <v>44</v>
      </c>
      <c r="Q275" s="37"/>
    </row>
    <row r="276" spans="1:28" s="52" customFormat="1" hidden="1" outlineLevel="1" x14ac:dyDescent="0.25">
      <c r="A276" s="53">
        <v>700</v>
      </c>
      <c r="B276" s="53">
        <v>720</v>
      </c>
      <c r="C276" s="73">
        <v>0</v>
      </c>
      <c r="D276" s="73">
        <v>0</v>
      </c>
      <c r="E276" s="73">
        <v>0</v>
      </c>
      <c r="F276" s="73">
        <v>0</v>
      </c>
      <c r="G276" s="56">
        <f t="shared" si="43"/>
        <v>108.4</v>
      </c>
      <c r="H276" s="56">
        <f t="shared" si="46"/>
        <v>86.720000000000013</v>
      </c>
      <c r="I276" s="56">
        <f t="shared" si="44"/>
        <v>78.836363636363643</v>
      </c>
      <c r="J276" s="56">
        <f t="shared" si="47"/>
        <v>63.069090909090917</v>
      </c>
      <c r="K276" s="303">
        <f t="shared" si="45"/>
        <v>0</v>
      </c>
      <c r="L276" s="303">
        <f t="shared" si="45"/>
        <v>0</v>
      </c>
      <c r="M276" s="303">
        <f t="shared" si="45"/>
        <v>0</v>
      </c>
      <c r="N276" s="303">
        <f t="shared" si="45"/>
        <v>0</v>
      </c>
      <c r="O276" s="313" t="s">
        <v>44</v>
      </c>
      <c r="P276" s="16" t="s">
        <v>44</v>
      </c>
      <c r="Q276" s="37"/>
    </row>
    <row r="277" spans="1:28" s="52" customFormat="1" hidden="1" outlineLevel="1" x14ac:dyDescent="0.25">
      <c r="A277" s="53">
        <v>800</v>
      </c>
      <c r="B277" s="53">
        <v>820</v>
      </c>
      <c r="C277" s="73">
        <v>0</v>
      </c>
      <c r="D277" s="73">
        <v>0</v>
      </c>
      <c r="E277" s="73">
        <v>0</v>
      </c>
      <c r="F277" s="73">
        <v>0</v>
      </c>
      <c r="G277" s="56">
        <f t="shared" si="43"/>
        <v>121.6</v>
      </c>
      <c r="H277" s="56">
        <f t="shared" si="46"/>
        <v>97.28</v>
      </c>
      <c r="I277" s="56">
        <f t="shared" si="44"/>
        <v>88.436363636363637</v>
      </c>
      <c r="J277" s="56">
        <f t="shared" si="47"/>
        <v>70.74909090909091</v>
      </c>
      <c r="K277" s="303">
        <f t="shared" si="45"/>
        <v>0</v>
      </c>
      <c r="L277" s="303">
        <f t="shared" si="45"/>
        <v>0</v>
      </c>
      <c r="M277" s="303">
        <f t="shared" si="45"/>
        <v>0</v>
      </c>
      <c r="N277" s="303">
        <f t="shared" si="45"/>
        <v>0</v>
      </c>
      <c r="O277" s="313" t="s">
        <v>44</v>
      </c>
      <c r="P277" s="16" t="s">
        <v>44</v>
      </c>
      <c r="Q277" s="37"/>
    </row>
    <row r="278" spans="1:28" s="52" customFormat="1" hidden="1" outlineLevel="1" x14ac:dyDescent="0.25">
      <c r="A278" s="53">
        <v>900</v>
      </c>
      <c r="B278" s="53">
        <v>920</v>
      </c>
      <c r="C278" s="73">
        <v>0</v>
      </c>
      <c r="D278" s="73">
        <v>0</v>
      </c>
      <c r="E278" s="73">
        <v>0</v>
      </c>
      <c r="F278" s="73">
        <v>0</v>
      </c>
      <c r="G278" s="56"/>
      <c r="H278" s="56"/>
      <c r="I278" s="56"/>
      <c r="J278" s="56">
        <f t="shared" si="47"/>
        <v>0</v>
      </c>
      <c r="K278" s="303">
        <f t="shared" si="45"/>
        <v>0</v>
      </c>
      <c r="L278" s="303">
        <f t="shared" si="45"/>
        <v>0</v>
      </c>
      <c r="M278" s="303">
        <f t="shared" si="45"/>
        <v>0</v>
      </c>
      <c r="N278" s="303">
        <f t="shared" si="45"/>
        <v>0</v>
      </c>
      <c r="O278" s="313" t="s">
        <v>44</v>
      </c>
      <c r="P278" s="16" t="s">
        <v>44</v>
      </c>
      <c r="Q278" s="37"/>
    </row>
    <row r="279" spans="1:28" s="52" customFormat="1" hidden="1" outlineLevel="1" x14ac:dyDescent="0.25">
      <c r="A279" s="53">
        <v>1000</v>
      </c>
      <c r="B279" s="53">
        <v>1020</v>
      </c>
      <c r="C279" s="73">
        <v>0</v>
      </c>
      <c r="D279" s="73">
        <v>0</v>
      </c>
      <c r="E279" s="73">
        <v>0</v>
      </c>
      <c r="F279" s="73">
        <v>0</v>
      </c>
      <c r="G279" s="56"/>
      <c r="H279" s="56"/>
      <c r="I279" s="56"/>
      <c r="J279" s="56">
        <f t="shared" si="47"/>
        <v>0</v>
      </c>
      <c r="K279" s="303">
        <f t="shared" si="45"/>
        <v>0</v>
      </c>
      <c r="L279" s="303">
        <f t="shared" si="45"/>
        <v>0</v>
      </c>
      <c r="M279" s="303">
        <f t="shared" si="45"/>
        <v>0</v>
      </c>
      <c r="N279" s="303">
        <f t="shared" si="45"/>
        <v>0</v>
      </c>
      <c r="O279" s="313" t="s">
        <v>44</v>
      </c>
      <c r="P279" s="16" t="s">
        <v>44</v>
      </c>
      <c r="Q279" s="37"/>
    </row>
    <row r="280" spans="1:28" s="30" customFormat="1" ht="46.5" hidden="1" customHeight="1" x14ac:dyDescent="0.25">
      <c r="A280" s="400" t="s">
        <v>59</v>
      </c>
      <c r="B280" s="401"/>
      <c r="C280" s="28">
        <f>SUM(C260:C279)</f>
        <v>0</v>
      </c>
      <c r="D280" s="28">
        <f>SUM(D260:D279)</f>
        <v>0</v>
      </c>
      <c r="E280" s="28">
        <f>SUM(E260:E279)</f>
        <v>0</v>
      </c>
      <c r="F280" s="28">
        <f>SUM(F260:F279)</f>
        <v>0</v>
      </c>
      <c r="G280" s="15">
        <f>IF(C280=0,0,SUMPRODUCT(C260:C279,G260:G279)/C280)</f>
        <v>0</v>
      </c>
      <c r="H280" s="15">
        <f>IF(D280=0,0,SUMPRODUCT(D260:D279,H260:H279)/D280)</f>
        <v>0</v>
      </c>
      <c r="I280" s="15">
        <f>IF(E280=0,0,SUMPRODUCT(E260:E279,I260:I279)/E280)</f>
        <v>0</v>
      </c>
      <c r="J280" s="15">
        <f>IF(F280=0,0,SUMPRODUCT(F260:F279,J260:J279)/F280)</f>
        <v>0</v>
      </c>
      <c r="K280" s="305">
        <f>SUM(K260:K279)</f>
        <v>0</v>
      </c>
      <c r="L280" s="305">
        <f>SUM(L260:L279)</f>
        <v>0</v>
      </c>
      <c r="M280" s="305">
        <f>SUM(M260:M279)</f>
        <v>0</v>
      </c>
      <c r="N280" s="305">
        <f>SUM(N260:N279)</f>
        <v>0</v>
      </c>
      <c r="O280" s="308" t="s">
        <v>44</v>
      </c>
      <c r="P280" s="17" t="s">
        <v>44</v>
      </c>
      <c r="Q280" s="29"/>
    </row>
    <row r="281" spans="1:28" s="54" customFormat="1" ht="33.75" hidden="1" customHeight="1" x14ac:dyDescent="0.25">
      <c r="A281" s="428" t="s">
        <v>67</v>
      </c>
      <c r="B281" s="428"/>
      <c r="C281" s="428"/>
      <c r="D281" s="428"/>
      <c r="E281" s="428"/>
      <c r="F281" s="428"/>
      <c r="G281" s="428"/>
      <c r="H281" s="428"/>
      <c r="I281" s="428"/>
      <c r="J281" s="428"/>
      <c r="K281" s="428"/>
      <c r="L281" s="428"/>
      <c r="M281" s="428"/>
      <c r="N281" s="428"/>
      <c r="O281" s="428"/>
      <c r="P281" s="428"/>
      <c r="Q281" s="74"/>
    </row>
    <row r="282" spans="1:28" s="24" customFormat="1" ht="93" hidden="1" customHeight="1" x14ac:dyDescent="0.25">
      <c r="A282" s="24" t="s">
        <v>26</v>
      </c>
      <c r="B282" s="24" t="s">
        <v>27</v>
      </c>
      <c r="C282" s="24" t="s">
        <v>54</v>
      </c>
      <c r="D282" s="24" t="s">
        <v>55</v>
      </c>
      <c r="E282" s="24" t="s">
        <v>56</v>
      </c>
      <c r="F282" s="24" t="s">
        <v>57</v>
      </c>
      <c r="G282" s="24" t="s">
        <v>30</v>
      </c>
      <c r="H282" s="24" t="s">
        <v>31</v>
      </c>
      <c r="I282" s="24" t="s">
        <v>32</v>
      </c>
      <c r="J282" s="24" t="s">
        <v>33</v>
      </c>
      <c r="K282" s="307" t="s">
        <v>34</v>
      </c>
      <c r="L282" s="307" t="s">
        <v>35</v>
      </c>
      <c r="M282" s="307" t="s">
        <v>36</v>
      </c>
      <c r="N282" s="307" t="s">
        <v>37</v>
      </c>
      <c r="O282" s="308" t="s">
        <v>38</v>
      </c>
      <c r="P282" s="17" t="s">
        <v>39</v>
      </c>
      <c r="Q282" s="21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3"/>
    </row>
    <row r="283" spans="1:28" s="22" customFormat="1" ht="14.25" hidden="1" x14ac:dyDescent="0.25">
      <c r="A283" s="25" t="s">
        <v>40</v>
      </c>
      <c r="B283" s="25" t="s">
        <v>40</v>
      </c>
      <c r="C283" s="25" t="s">
        <v>41</v>
      </c>
      <c r="D283" s="25" t="s">
        <v>41</v>
      </c>
      <c r="E283" s="25" t="s">
        <v>41</v>
      </c>
      <c r="F283" s="25" t="s">
        <v>41</v>
      </c>
      <c r="G283" s="25" t="s">
        <v>42</v>
      </c>
      <c r="H283" s="25" t="s">
        <v>42</v>
      </c>
      <c r="I283" s="25" t="s">
        <v>42</v>
      </c>
      <c r="J283" s="25" t="s">
        <v>42</v>
      </c>
      <c r="K283" s="301" t="s">
        <v>15</v>
      </c>
      <c r="L283" s="301" t="s">
        <v>15</v>
      </c>
      <c r="M283" s="301" t="s">
        <v>15</v>
      </c>
      <c r="N283" s="301" t="s">
        <v>15</v>
      </c>
      <c r="O283" s="302"/>
      <c r="P283" s="26"/>
      <c r="Q283" s="27"/>
    </row>
    <row r="284" spans="1:28" s="52" customFormat="1" hidden="1" outlineLevel="1" x14ac:dyDescent="0.25">
      <c r="A284" s="53">
        <v>25</v>
      </c>
      <c r="B284" s="53">
        <v>32</v>
      </c>
      <c r="C284" s="73">
        <v>0</v>
      </c>
      <c r="D284" s="73">
        <v>0</v>
      </c>
      <c r="E284" s="73">
        <v>0</v>
      </c>
      <c r="F284" s="73">
        <v>0</v>
      </c>
      <c r="G284" s="56">
        <f>(IF($I$35-$I$37&gt;$X$8,X9+(Y9-X9)*($I$35-$I$37-$X$8)/($Y$8-$X$8),W9+(X9-W9)*($I$35-$I$37-$W$8)/($X$8-$W$8)))/1.163</f>
        <v>12.198572803903845</v>
      </c>
      <c r="H284" s="56">
        <f>G284*0.5</f>
        <v>6.0992864019519226</v>
      </c>
      <c r="I284" s="56">
        <f>(IF($I$36-$I$37&gt;$X$8,X9+(Y9-X9)*($I$36-$I$37-$X$8)/($Y$8-$X$8),W9+(X9-W9)*($I$36-$I$37-$W$8)/($X$8-$W$8)))/1.163</f>
        <v>9.1031299836114972</v>
      </c>
      <c r="J284" s="56">
        <f>I284*0.5</f>
        <v>4.5515649918057486</v>
      </c>
      <c r="K284" s="303">
        <f t="shared" ref="K284:N290" si="48">C284*G284*$I$39*1.2/1000000*24</f>
        <v>0</v>
      </c>
      <c r="L284" s="303">
        <f t="shared" si="48"/>
        <v>0</v>
      </c>
      <c r="M284" s="303">
        <f t="shared" si="48"/>
        <v>0</v>
      </c>
      <c r="N284" s="303">
        <f t="shared" si="48"/>
        <v>0</v>
      </c>
      <c r="O284" s="313" t="s">
        <v>44</v>
      </c>
      <c r="P284" s="16" t="s">
        <v>44</v>
      </c>
      <c r="Q284" s="37"/>
    </row>
    <row r="285" spans="1:28" s="52" customFormat="1" hidden="1" outlineLevel="1" x14ac:dyDescent="0.25">
      <c r="A285" s="53">
        <v>40</v>
      </c>
      <c r="B285" s="53">
        <v>45</v>
      </c>
      <c r="C285" s="73">
        <v>0</v>
      </c>
      <c r="D285" s="73">
        <v>0</v>
      </c>
      <c r="E285" s="73">
        <v>0</v>
      </c>
      <c r="F285" s="73">
        <v>0</v>
      </c>
      <c r="G285" s="56">
        <f>(IF($I$35-$I$37&gt;$X$8,X10+(Y10-X10)*($I$35-$I$37-$X$8)/($Y$8-$X$8),W10+(X10-W10)*($I$35-$I$37-$W$8)/($X$8-$W$8)))/1.163</f>
        <v>14.088360733244654</v>
      </c>
      <c r="H285" s="56">
        <f>G285*0.5</f>
        <v>7.044180366622327</v>
      </c>
      <c r="I285" s="56">
        <f t="shared" ref="I285:I303" si="49">(IF($I$36-$I$37&gt;$X$8,X10+(Y10-X10)*($I$36-$I$37-$X$8)/($Y$8-$X$8),W10+(X10-W10)*($I$36-$I$37-$W$8)/($X$8-$W$8)))/1.163</f>
        <v>10.477010776236915</v>
      </c>
      <c r="J285" s="56">
        <f>I285*0.5</f>
        <v>5.2385053881184573</v>
      </c>
      <c r="K285" s="303">
        <f t="shared" si="48"/>
        <v>0</v>
      </c>
      <c r="L285" s="303">
        <f t="shared" si="48"/>
        <v>0</v>
      </c>
      <c r="M285" s="303">
        <f t="shared" si="48"/>
        <v>0</v>
      </c>
      <c r="N285" s="303">
        <f t="shared" si="48"/>
        <v>0</v>
      </c>
      <c r="O285" s="313" t="s">
        <v>44</v>
      </c>
      <c r="P285" s="16" t="s">
        <v>44</v>
      </c>
      <c r="Q285" s="37"/>
    </row>
    <row r="286" spans="1:28" s="52" customFormat="1" hidden="1" outlineLevel="1" x14ac:dyDescent="0.25">
      <c r="A286" s="53">
        <v>50</v>
      </c>
      <c r="B286" s="53">
        <v>57</v>
      </c>
      <c r="C286" s="73">
        <v>0</v>
      </c>
      <c r="D286" s="73">
        <v>0</v>
      </c>
      <c r="E286" s="73">
        <v>0</v>
      </c>
      <c r="F286" s="73">
        <v>0</v>
      </c>
      <c r="G286" s="56">
        <f t="shared" ref="G286:G303" si="50">(IF($I$35-$I$37&gt;$X$8,X11+(Y11-X11)*($I$35-$I$37-$X$8)/($Y$8-$X$8),W11+(X11-W11)*($I$35-$I$37-$W$8)/($X$8-$W$8)))/1.163</f>
        <v>15.808051188962624</v>
      </c>
      <c r="H286" s="56">
        <f>G286*0.5</f>
        <v>7.904025594481312</v>
      </c>
      <c r="I286" s="56">
        <f t="shared" si="49"/>
        <v>12.196701231954886</v>
      </c>
      <c r="J286" s="56">
        <f>I286*0.5</f>
        <v>6.0983506159774432</v>
      </c>
      <c r="K286" s="303">
        <f t="shared" si="48"/>
        <v>0</v>
      </c>
      <c r="L286" s="303">
        <f t="shared" si="48"/>
        <v>0</v>
      </c>
      <c r="M286" s="303">
        <f t="shared" si="48"/>
        <v>0</v>
      </c>
      <c r="N286" s="303">
        <f t="shared" si="48"/>
        <v>0</v>
      </c>
      <c r="O286" s="313" t="s">
        <v>44</v>
      </c>
      <c r="P286" s="16" t="s">
        <v>44</v>
      </c>
      <c r="Q286" s="37"/>
    </row>
    <row r="287" spans="1:28" s="52" customFormat="1" hidden="1" outlineLevel="1" x14ac:dyDescent="0.25">
      <c r="A287" s="53">
        <v>65</v>
      </c>
      <c r="B287" s="53">
        <v>76</v>
      </c>
      <c r="C287" s="73">
        <v>0</v>
      </c>
      <c r="D287" s="73">
        <v>0</v>
      </c>
      <c r="E287" s="73">
        <v>0</v>
      </c>
      <c r="F287" s="73">
        <v>0</v>
      </c>
      <c r="G287" s="56">
        <f t="shared" si="50"/>
        <v>17.782887855114854</v>
      </c>
      <c r="H287" s="56">
        <f>G287*0.5</f>
        <v>8.8914439275574271</v>
      </c>
      <c r="I287" s="56">
        <f t="shared" si="49"/>
        <v>13.397677193034029</v>
      </c>
      <c r="J287" s="56">
        <f>I287*0.5</f>
        <v>6.6988385965170147</v>
      </c>
      <c r="K287" s="303">
        <f t="shared" si="48"/>
        <v>0</v>
      </c>
      <c r="L287" s="303">
        <f t="shared" si="48"/>
        <v>0</v>
      </c>
      <c r="M287" s="303">
        <f t="shared" si="48"/>
        <v>0</v>
      </c>
      <c r="N287" s="303">
        <f t="shared" si="48"/>
        <v>0</v>
      </c>
      <c r="O287" s="313" t="s">
        <v>44</v>
      </c>
      <c r="P287" s="16" t="s">
        <v>44</v>
      </c>
      <c r="Q287" s="37"/>
    </row>
    <row r="288" spans="1:28" s="52" customFormat="1" hidden="1" outlineLevel="1" x14ac:dyDescent="0.25">
      <c r="A288" s="53">
        <v>80</v>
      </c>
      <c r="B288" s="53">
        <v>89</v>
      </c>
      <c r="C288" s="73">
        <v>0</v>
      </c>
      <c r="D288" s="73">
        <v>0</v>
      </c>
      <c r="E288" s="73">
        <v>0</v>
      </c>
      <c r="F288" s="73">
        <v>0</v>
      </c>
      <c r="G288" s="56">
        <f t="shared" si="50"/>
        <v>19.587627047644244</v>
      </c>
      <c r="H288" s="56">
        <f>G288*0.6</f>
        <v>11.752576228586546</v>
      </c>
      <c r="I288" s="56">
        <f t="shared" si="49"/>
        <v>14.944462817205725</v>
      </c>
      <c r="J288" s="56">
        <f>I288*0.6</f>
        <v>8.9666776903234346</v>
      </c>
      <c r="K288" s="303">
        <f t="shared" si="48"/>
        <v>0</v>
      </c>
      <c r="L288" s="303">
        <f t="shared" si="48"/>
        <v>0</v>
      </c>
      <c r="M288" s="303">
        <f t="shared" si="48"/>
        <v>0</v>
      </c>
      <c r="N288" s="303">
        <f t="shared" si="48"/>
        <v>0</v>
      </c>
      <c r="O288" s="313" t="s">
        <v>44</v>
      </c>
      <c r="P288" s="16" t="s">
        <v>44</v>
      </c>
      <c r="Q288" s="37"/>
    </row>
    <row r="289" spans="1:17" s="52" customFormat="1" hidden="1" outlineLevel="1" x14ac:dyDescent="0.25">
      <c r="A289" s="53">
        <v>100</v>
      </c>
      <c r="B289" s="53">
        <v>108</v>
      </c>
      <c r="C289" s="73">
        <v>0</v>
      </c>
      <c r="D289" s="73">
        <v>0</v>
      </c>
      <c r="E289" s="73">
        <v>0</v>
      </c>
      <c r="F289" s="73">
        <v>0</v>
      </c>
      <c r="G289" s="56">
        <f t="shared" si="50"/>
        <v>22.252211468032623</v>
      </c>
      <c r="H289" s="56">
        <f>G289*0.6</f>
        <v>13.351326880819574</v>
      </c>
      <c r="I289" s="56">
        <f t="shared" si="49"/>
        <v>17.351093669236402</v>
      </c>
      <c r="J289" s="56">
        <f>I289*0.6</f>
        <v>10.41065620154184</v>
      </c>
      <c r="K289" s="303">
        <f t="shared" si="48"/>
        <v>0</v>
      </c>
      <c r="L289" s="303">
        <f t="shared" si="48"/>
        <v>0</v>
      </c>
      <c r="M289" s="303">
        <f t="shared" si="48"/>
        <v>0</v>
      </c>
      <c r="N289" s="303">
        <f t="shared" si="48"/>
        <v>0</v>
      </c>
      <c r="O289" s="313" t="s">
        <v>44</v>
      </c>
      <c r="P289" s="16" t="s">
        <v>44</v>
      </c>
      <c r="Q289" s="37"/>
    </row>
    <row r="290" spans="1:17" s="52" customFormat="1" hidden="1" outlineLevel="1" x14ac:dyDescent="0.25">
      <c r="A290" s="53">
        <v>125</v>
      </c>
      <c r="B290" s="53">
        <v>133</v>
      </c>
      <c r="C290" s="73">
        <v>0</v>
      </c>
      <c r="D290" s="73">
        <v>0</v>
      </c>
      <c r="E290" s="73">
        <v>0</v>
      </c>
      <c r="F290" s="73">
        <v>0</v>
      </c>
      <c r="G290" s="56">
        <f t="shared" si="50"/>
        <v>25.086893362043835</v>
      </c>
      <c r="H290" s="56">
        <f>G290*0.6</f>
        <v>15.052136017226299</v>
      </c>
      <c r="I290" s="56">
        <f t="shared" si="49"/>
        <v>19.411914858174534</v>
      </c>
      <c r="J290" s="56">
        <f>I290*0.6</f>
        <v>11.64714891490472</v>
      </c>
      <c r="K290" s="303">
        <f t="shared" si="48"/>
        <v>0</v>
      </c>
      <c r="L290" s="303">
        <f t="shared" si="48"/>
        <v>0</v>
      </c>
      <c r="M290" s="303">
        <f t="shared" si="48"/>
        <v>0</v>
      </c>
      <c r="N290" s="303">
        <f t="shared" si="48"/>
        <v>0</v>
      </c>
      <c r="O290" s="313" t="s">
        <v>44</v>
      </c>
      <c r="P290" s="16" t="s">
        <v>44</v>
      </c>
      <c r="Q290" s="37"/>
    </row>
    <row r="291" spans="1:17" s="52" customFormat="1" hidden="1" outlineLevel="1" x14ac:dyDescent="0.25">
      <c r="A291" s="53">
        <v>150</v>
      </c>
      <c r="B291" s="53">
        <v>159</v>
      </c>
      <c r="C291" s="73">
        <v>0</v>
      </c>
      <c r="D291" s="73">
        <v>0</v>
      </c>
      <c r="E291" s="73">
        <v>0</v>
      </c>
      <c r="F291" s="73">
        <v>0</v>
      </c>
      <c r="G291" s="56">
        <f t="shared" si="50"/>
        <v>27.83652651924363</v>
      </c>
      <c r="H291" s="56">
        <f>G291*0.6</f>
        <v>16.701915911546177</v>
      </c>
      <c r="I291" s="56">
        <f t="shared" si="49"/>
        <v>21.645640878658934</v>
      </c>
      <c r="J291" s="56">
        <f>I291*0.6</f>
        <v>12.98738452719536</v>
      </c>
      <c r="K291" s="303">
        <f>C291*G291*$I$39*1.15/1000000*24</f>
        <v>0</v>
      </c>
      <c r="L291" s="303">
        <f>D291*H291*$I$39*1.15/1000000*24</f>
        <v>0</v>
      </c>
      <c r="M291" s="303">
        <f>E291*I291*$I$39*1.15/1000000*24</f>
        <v>0</v>
      </c>
      <c r="N291" s="303">
        <f>F291*J291*$I$39*1.15/1000000*24</f>
        <v>0</v>
      </c>
      <c r="O291" s="313" t="s">
        <v>44</v>
      </c>
      <c r="P291" s="16" t="s">
        <v>44</v>
      </c>
      <c r="Q291" s="37"/>
    </row>
    <row r="292" spans="1:17" s="52" customFormat="1" hidden="1" outlineLevel="1" x14ac:dyDescent="0.25">
      <c r="A292" s="53">
        <v>200</v>
      </c>
      <c r="B292" s="53">
        <v>219</v>
      </c>
      <c r="C292" s="73">
        <v>0</v>
      </c>
      <c r="D292" s="73">
        <v>0</v>
      </c>
      <c r="E292" s="73">
        <v>0</v>
      </c>
      <c r="F292" s="73">
        <v>0</v>
      </c>
      <c r="G292" s="56">
        <f t="shared" si="50"/>
        <v>34.195638061502201</v>
      </c>
      <c r="H292" s="56">
        <f>G292*0.7</f>
        <v>23.936946643051538</v>
      </c>
      <c r="I292" s="56">
        <f t="shared" si="49"/>
        <v>26.97293814748673</v>
      </c>
      <c r="J292" s="56">
        <f>I292*0.7</f>
        <v>18.881056703240709</v>
      </c>
      <c r="K292" s="303">
        <f t="shared" ref="K292:N303" si="51">C292*G292*$I$39*1.15/1000000*24</f>
        <v>0</v>
      </c>
      <c r="L292" s="303">
        <f t="shared" si="51"/>
        <v>0</v>
      </c>
      <c r="M292" s="303">
        <f t="shared" si="51"/>
        <v>0</v>
      </c>
      <c r="N292" s="303">
        <f t="shared" si="51"/>
        <v>0</v>
      </c>
      <c r="O292" s="313" t="s">
        <v>44</v>
      </c>
      <c r="P292" s="16" t="s">
        <v>44</v>
      </c>
      <c r="Q292" s="37"/>
    </row>
    <row r="293" spans="1:17" s="52" customFormat="1" hidden="1" outlineLevel="1" x14ac:dyDescent="0.25">
      <c r="A293" s="53">
        <v>250</v>
      </c>
      <c r="B293" s="53">
        <v>273</v>
      </c>
      <c r="C293" s="73">
        <v>0</v>
      </c>
      <c r="D293" s="73">
        <v>0</v>
      </c>
      <c r="E293" s="73">
        <v>0</v>
      </c>
      <c r="F293" s="73">
        <v>0</v>
      </c>
      <c r="G293" s="56">
        <f t="shared" si="50"/>
        <v>39.6949043759018</v>
      </c>
      <c r="H293" s="56">
        <f>G293*0.7</f>
        <v>27.786433063131259</v>
      </c>
      <c r="I293" s="56">
        <f t="shared" si="49"/>
        <v>31.440390188455538</v>
      </c>
      <c r="J293" s="56">
        <f>I293*0.7</f>
        <v>22.008273131918877</v>
      </c>
      <c r="K293" s="303">
        <f t="shared" si="51"/>
        <v>0</v>
      </c>
      <c r="L293" s="303">
        <f t="shared" si="51"/>
        <v>0</v>
      </c>
      <c r="M293" s="303">
        <f t="shared" si="51"/>
        <v>0</v>
      </c>
      <c r="N293" s="303">
        <f t="shared" si="51"/>
        <v>0</v>
      </c>
      <c r="O293" s="313" t="s">
        <v>44</v>
      </c>
      <c r="P293" s="16" t="s">
        <v>44</v>
      </c>
      <c r="Q293" s="37"/>
    </row>
    <row r="294" spans="1:17" s="52" customFormat="1" hidden="1" outlineLevel="1" x14ac:dyDescent="0.25">
      <c r="A294" s="53">
        <v>300</v>
      </c>
      <c r="B294" s="53">
        <v>325</v>
      </c>
      <c r="C294" s="73">
        <v>0</v>
      </c>
      <c r="D294" s="73">
        <v>0</v>
      </c>
      <c r="E294" s="73">
        <v>0</v>
      </c>
      <c r="F294" s="73">
        <v>0</v>
      </c>
      <c r="G294" s="56">
        <f t="shared" si="50"/>
        <v>45.109121953489968</v>
      </c>
      <c r="H294" s="56">
        <f>G294*0.7</f>
        <v>31.576385367442974</v>
      </c>
      <c r="I294" s="56">
        <f t="shared" si="49"/>
        <v>36.080747060970623</v>
      </c>
      <c r="J294" s="56">
        <f>I294*0.7</f>
        <v>25.256522942679435</v>
      </c>
      <c r="K294" s="303">
        <f t="shared" si="51"/>
        <v>0</v>
      </c>
      <c r="L294" s="303">
        <f t="shared" si="51"/>
        <v>0</v>
      </c>
      <c r="M294" s="303">
        <f t="shared" si="51"/>
        <v>0</v>
      </c>
      <c r="N294" s="303">
        <f t="shared" si="51"/>
        <v>0</v>
      </c>
      <c r="O294" s="313" t="s">
        <v>44</v>
      </c>
      <c r="P294" s="16" t="s">
        <v>44</v>
      </c>
      <c r="Q294" s="37"/>
    </row>
    <row r="295" spans="1:17" s="52" customFormat="1" hidden="1" outlineLevel="1" x14ac:dyDescent="0.25">
      <c r="A295" s="53">
        <v>350</v>
      </c>
      <c r="B295" s="53">
        <v>377</v>
      </c>
      <c r="C295" s="73">
        <v>0</v>
      </c>
      <c r="D295" s="73">
        <v>0</v>
      </c>
      <c r="E295" s="73">
        <v>0</v>
      </c>
      <c r="F295" s="73">
        <v>0</v>
      </c>
      <c r="G295" s="56">
        <f t="shared" si="50"/>
        <v>50.523339531078143</v>
      </c>
      <c r="H295" s="56">
        <f t="shared" ref="H295:H303" si="52">G295*0.8</f>
        <v>40.418671624862519</v>
      </c>
      <c r="I295" s="56">
        <f t="shared" si="49"/>
        <v>40.721103933485701</v>
      </c>
      <c r="J295" s="56">
        <f t="shared" ref="J295:J303" si="53">I295*0.8</f>
        <v>32.57688314678856</v>
      </c>
      <c r="K295" s="303">
        <f t="shared" si="51"/>
        <v>0</v>
      </c>
      <c r="L295" s="303">
        <f t="shared" si="51"/>
        <v>0</v>
      </c>
      <c r="M295" s="303">
        <f t="shared" si="51"/>
        <v>0</v>
      </c>
      <c r="N295" s="303">
        <f t="shared" si="51"/>
        <v>0</v>
      </c>
      <c r="O295" s="313" t="s">
        <v>44</v>
      </c>
      <c r="P295" s="16" t="s">
        <v>44</v>
      </c>
      <c r="Q295" s="37"/>
    </row>
    <row r="296" spans="1:17" s="52" customFormat="1" hidden="1" outlineLevel="1" x14ac:dyDescent="0.25">
      <c r="A296" s="53">
        <v>400</v>
      </c>
      <c r="B296" s="53">
        <v>426</v>
      </c>
      <c r="C296" s="73">
        <v>0</v>
      </c>
      <c r="D296" s="73">
        <v>0</v>
      </c>
      <c r="E296" s="73">
        <v>0</v>
      </c>
      <c r="F296" s="73">
        <v>0</v>
      </c>
      <c r="G296" s="56">
        <f t="shared" si="50"/>
        <v>55.937557108666304</v>
      </c>
      <c r="H296" s="56">
        <f t="shared" si="52"/>
        <v>44.750045686933049</v>
      </c>
      <c r="I296" s="56">
        <f t="shared" si="49"/>
        <v>45.361460806000792</v>
      </c>
      <c r="J296" s="56">
        <f t="shared" si="53"/>
        <v>36.289168644800633</v>
      </c>
      <c r="K296" s="303">
        <f t="shared" si="51"/>
        <v>0</v>
      </c>
      <c r="L296" s="303">
        <f t="shared" si="51"/>
        <v>0</v>
      </c>
      <c r="M296" s="303">
        <f t="shared" si="51"/>
        <v>0</v>
      </c>
      <c r="N296" s="303">
        <f t="shared" si="51"/>
        <v>0</v>
      </c>
      <c r="O296" s="313" t="s">
        <v>44</v>
      </c>
      <c r="P296" s="16" t="s">
        <v>44</v>
      </c>
      <c r="Q296" s="37"/>
    </row>
    <row r="297" spans="1:17" s="52" customFormat="1" hidden="1" outlineLevel="1" x14ac:dyDescent="0.25">
      <c r="A297" s="53">
        <v>450</v>
      </c>
      <c r="B297" s="53">
        <v>478</v>
      </c>
      <c r="C297" s="73">
        <v>0</v>
      </c>
      <c r="D297" s="73">
        <v>0</v>
      </c>
      <c r="E297" s="73">
        <v>0</v>
      </c>
      <c r="F297" s="73">
        <v>0</v>
      </c>
      <c r="G297" s="56">
        <f t="shared" si="50"/>
        <v>59.632084230536513</v>
      </c>
      <c r="H297" s="56">
        <f t="shared" si="52"/>
        <v>47.705667384429212</v>
      </c>
      <c r="I297" s="56">
        <f t="shared" si="49"/>
        <v>48.282127222797904</v>
      </c>
      <c r="J297" s="56">
        <f t="shared" si="53"/>
        <v>38.625701778238323</v>
      </c>
      <c r="K297" s="303">
        <f t="shared" si="51"/>
        <v>0</v>
      </c>
      <c r="L297" s="303">
        <f t="shared" si="51"/>
        <v>0</v>
      </c>
      <c r="M297" s="303">
        <f t="shared" si="51"/>
        <v>0</v>
      </c>
      <c r="N297" s="303">
        <f t="shared" si="51"/>
        <v>0</v>
      </c>
      <c r="O297" s="313" t="s">
        <v>44</v>
      </c>
      <c r="P297" s="16" t="s">
        <v>44</v>
      </c>
      <c r="Q297" s="37"/>
    </row>
    <row r="298" spans="1:17" s="52" customFormat="1" hidden="1" outlineLevel="1" x14ac:dyDescent="0.25">
      <c r="A298" s="53">
        <v>500</v>
      </c>
      <c r="B298" s="53">
        <v>529</v>
      </c>
      <c r="C298" s="73">
        <v>0</v>
      </c>
      <c r="D298" s="73">
        <v>0</v>
      </c>
      <c r="E298" s="73">
        <v>0</v>
      </c>
      <c r="F298" s="73">
        <v>0</v>
      </c>
      <c r="G298" s="56">
        <f t="shared" si="50"/>
        <v>65.131350544936097</v>
      </c>
      <c r="H298" s="56">
        <f t="shared" si="52"/>
        <v>52.105080435948878</v>
      </c>
      <c r="I298" s="56">
        <f t="shared" si="49"/>
        <v>52.749579263766705</v>
      </c>
      <c r="J298" s="56">
        <f t="shared" si="53"/>
        <v>42.199663411013368</v>
      </c>
      <c r="K298" s="303">
        <f t="shared" si="51"/>
        <v>0</v>
      </c>
      <c r="L298" s="303">
        <f t="shared" si="51"/>
        <v>0</v>
      </c>
      <c r="M298" s="303">
        <f t="shared" si="51"/>
        <v>0</v>
      </c>
      <c r="N298" s="303">
        <f t="shared" si="51"/>
        <v>0</v>
      </c>
      <c r="O298" s="313" t="s">
        <v>44</v>
      </c>
      <c r="P298" s="16" t="s">
        <v>44</v>
      </c>
      <c r="Q298" s="37"/>
    </row>
    <row r="299" spans="1:17" s="52" customFormat="1" hidden="1" outlineLevel="1" x14ac:dyDescent="0.25">
      <c r="A299" s="53">
        <v>600</v>
      </c>
      <c r="B299" s="53">
        <v>630</v>
      </c>
      <c r="C299" s="73">
        <v>0</v>
      </c>
      <c r="D299" s="73">
        <v>0</v>
      </c>
      <c r="E299" s="73">
        <v>0</v>
      </c>
      <c r="F299" s="73">
        <v>0</v>
      </c>
      <c r="G299" s="56">
        <f t="shared" si="50"/>
        <v>74.589648051384941</v>
      </c>
      <c r="H299" s="56">
        <f t="shared" si="52"/>
        <v>59.671718441107956</v>
      </c>
      <c r="I299" s="56">
        <f t="shared" si="49"/>
        <v>62.207876770215549</v>
      </c>
      <c r="J299" s="56">
        <f t="shared" si="53"/>
        <v>49.766301416172439</v>
      </c>
      <c r="K299" s="303">
        <f t="shared" si="51"/>
        <v>0</v>
      </c>
      <c r="L299" s="303">
        <f t="shared" si="51"/>
        <v>0</v>
      </c>
      <c r="M299" s="303">
        <f t="shared" si="51"/>
        <v>0</v>
      </c>
      <c r="N299" s="303">
        <f t="shared" si="51"/>
        <v>0</v>
      </c>
      <c r="O299" s="313" t="s">
        <v>44</v>
      </c>
      <c r="P299" s="16" t="s">
        <v>44</v>
      </c>
      <c r="Q299" s="37"/>
    </row>
    <row r="300" spans="1:17" s="52" customFormat="1" hidden="1" outlineLevel="1" x14ac:dyDescent="0.25">
      <c r="A300" s="53">
        <v>700</v>
      </c>
      <c r="B300" s="53">
        <v>720</v>
      </c>
      <c r="C300" s="73">
        <v>0</v>
      </c>
      <c r="D300" s="73">
        <v>0</v>
      </c>
      <c r="E300" s="73">
        <v>0</v>
      </c>
      <c r="F300" s="73">
        <v>0</v>
      </c>
      <c r="G300" s="56">
        <f t="shared" si="50"/>
        <v>84.123636434900405</v>
      </c>
      <c r="H300" s="56">
        <f t="shared" si="52"/>
        <v>67.298909147920327</v>
      </c>
      <c r="I300" s="56">
        <f t="shared" si="49"/>
        <v>68.904375901796371</v>
      </c>
      <c r="J300" s="56">
        <f t="shared" si="53"/>
        <v>55.123500721437097</v>
      </c>
      <c r="K300" s="303">
        <f t="shared" si="51"/>
        <v>0</v>
      </c>
      <c r="L300" s="303">
        <f t="shared" si="51"/>
        <v>0</v>
      </c>
      <c r="M300" s="303">
        <f t="shared" si="51"/>
        <v>0</v>
      </c>
      <c r="N300" s="303">
        <f t="shared" si="51"/>
        <v>0</v>
      </c>
      <c r="O300" s="313" t="s">
        <v>44</v>
      </c>
      <c r="P300" s="16" t="s">
        <v>44</v>
      </c>
      <c r="Q300" s="37"/>
    </row>
    <row r="301" spans="1:17" s="52" customFormat="1" hidden="1" outlineLevel="1" x14ac:dyDescent="0.25">
      <c r="A301" s="53">
        <v>800</v>
      </c>
      <c r="B301" s="53">
        <v>820</v>
      </c>
      <c r="C301" s="73">
        <v>0</v>
      </c>
      <c r="D301" s="73">
        <v>0</v>
      </c>
      <c r="E301" s="73">
        <v>0</v>
      </c>
      <c r="F301" s="73">
        <v>0</v>
      </c>
      <c r="G301" s="56">
        <f t="shared" si="50"/>
        <v>94.007177625406342</v>
      </c>
      <c r="H301" s="56">
        <f t="shared" si="52"/>
        <v>75.205742100325082</v>
      </c>
      <c r="I301" s="56">
        <f t="shared" si="49"/>
        <v>77.498149250513819</v>
      </c>
      <c r="J301" s="56">
        <f t="shared" si="53"/>
        <v>61.998519400411055</v>
      </c>
      <c r="K301" s="303">
        <f t="shared" si="51"/>
        <v>0</v>
      </c>
      <c r="L301" s="303">
        <f t="shared" si="51"/>
        <v>0</v>
      </c>
      <c r="M301" s="303">
        <f t="shared" si="51"/>
        <v>0</v>
      </c>
      <c r="N301" s="303">
        <f t="shared" si="51"/>
        <v>0</v>
      </c>
      <c r="O301" s="313" t="s">
        <v>44</v>
      </c>
      <c r="P301" s="16" t="s">
        <v>44</v>
      </c>
      <c r="Q301" s="37"/>
    </row>
    <row r="302" spans="1:17" s="52" customFormat="1" hidden="1" outlineLevel="1" x14ac:dyDescent="0.25">
      <c r="A302" s="53">
        <v>900</v>
      </c>
      <c r="B302" s="53">
        <v>920</v>
      </c>
      <c r="C302" s="73">
        <v>0</v>
      </c>
      <c r="D302" s="73">
        <v>0</v>
      </c>
      <c r="E302" s="73">
        <v>0</v>
      </c>
      <c r="F302" s="73">
        <v>0</v>
      </c>
      <c r="G302" s="56">
        <f t="shared" si="50"/>
        <v>103.20097106167614</v>
      </c>
      <c r="H302" s="56">
        <f t="shared" si="52"/>
        <v>82.560776849340925</v>
      </c>
      <c r="I302" s="56">
        <f t="shared" si="49"/>
        <v>84.886267708279746</v>
      </c>
      <c r="J302" s="56">
        <f t="shared" si="53"/>
        <v>67.909014166623805</v>
      </c>
      <c r="K302" s="303">
        <f t="shared" si="51"/>
        <v>0</v>
      </c>
      <c r="L302" s="303">
        <f t="shared" si="51"/>
        <v>0</v>
      </c>
      <c r="M302" s="303">
        <f t="shared" si="51"/>
        <v>0</v>
      </c>
      <c r="N302" s="303">
        <f>F302*J302*$I$39*1.15/1000000*24</f>
        <v>0</v>
      </c>
      <c r="O302" s="313" t="s">
        <v>44</v>
      </c>
      <c r="P302" s="16" t="s">
        <v>44</v>
      </c>
      <c r="Q302" s="37"/>
    </row>
    <row r="303" spans="1:17" s="52" customFormat="1" hidden="1" outlineLevel="1" x14ac:dyDescent="0.25">
      <c r="A303" s="53">
        <v>1000</v>
      </c>
      <c r="B303" s="53">
        <v>1020</v>
      </c>
      <c r="C303" s="73">
        <v>0</v>
      </c>
      <c r="D303" s="73">
        <v>0</v>
      </c>
      <c r="E303" s="73">
        <v>0</v>
      </c>
      <c r="F303" s="73">
        <v>0</v>
      </c>
      <c r="G303" s="56">
        <f t="shared" si="50"/>
        <v>113.16956098899348</v>
      </c>
      <c r="H303" s="56">
        <f t="shared" si="52"/>
        <v>90.535648791194788</v>
      </c>
      <c r="I303" s="56">
        <f t="shared" si="49"/>
        <v>93.307136225450932</v>
      </c>
      <c r="J303" s="56">
        <f t="shared" si="53"/>
        <v>74.645708980360752</v>
      </c>
      <c r="K303" s="303">
        <f t="shared" si="51"/>
        <v>0</v>
      </c>
      <c r="L303" s="303">
        <f t="shared" si="51"/>
        <v>0</v>
      </c>
      <c r="M303" s="303">
        <f t="shared" si="51"/>
        <v>0</v>
      </c>
      <c r="N303" s="303">
        <f t="shared" si="51"/>
        <v>0</v>
      </c>
      <c r="O303" s="313" t="s">
        <v>44</v>
      </c>
      <c r="P303" s="16" t="s">
        <v>44</v>
      </c>
      <c r="Q303" s="37"/>
    </row>
    <row r="304" spans="1:17" s="30" customFormat="1" ht="45.75" hidden="1" customHeight="1" thickBot="1" x14ac:dyDescent="0.3">
      <c r="A304" s="433" t="s">
        <v>45</v>
      </c>
      <c r="B304" s="434"/>
      <c r="C304" s="31">
        <f>SUM(C284:C303)</f>
        <v>0</v>
      </c>
      <c r="D304" s="31">
        <f>SUM(D284:D303)</f>
        <v>0</v>
      </c>
      <c r="E304" s="31">
        <f>SUM(E284:E303)</f>
        <v>0</v>
      </c>
      <c r="F304" s="31">
        <f>SUM(F284:F303)</f>
        <v>0</v>
      </c>
      <c r="G304" s="15">
        <f>IF(C304=0,0,SUMPRODUCT(C284:C303,G284:G303)/C304)</f>
        <v>0</v>
      </c>
      <c r="H304" s="15">
        <f>IF(D304=0,0,SUMPRODUCT(D284:D303,H284:H303)/D304)</f>
        <v>0</v>
      </c>
      <c r="I304" s="15">
        <f>IF(E304=0,0,SUMPRODUCT(E284:E303,I284:I303)/E304)</f>
        <v>0</v>
      </c>
      <c r="J304" s="15">
        <f>IF(F304=0,0,SUMPRODUCT(F284:F303,J284:J303)/F304)</f>
        <v>0</v>
      </c>
      <c r="K304" s="305">
        <f>SUM(K284:K303)</f>
        <v>0</v>
      </c>
      <c r="L304" s="305">
        <f>SUM(L284:L303)</f>
        <v>0</v>
      </c>
      <c r="M304" s="305">
        <f>SUM(M284:M303)</f>
        <v>0</v>
      </c>
      <c r="N304" s="305">
        <f>SUM(N284:N303)</f>
        <v>0</v>
      </c>
      <c r="O304" s="308" t="s">
        <v>44</v>
      </c>
      <c r="P304" s="17" t="s">
        <v>44</v>
      </c>
      <c r="Q304" s="29"/>
    </row>
    <row r="305" spans="1:24" ht="33" customHeight="1" thickBot="1" x14ac:dyDescent="0.3">
      <c r="A305" s="435" t="s">
        <v>60</v>
      </c>
      <c r="B305" s="436"/>
      <c r="C305" s="436"/>
      <c r="D305" s="436"/>
      <c r="E305" s="436"/>
      <c r="F305" s="437"/>
      <c r="G305" s="75">
        <f>K304+L304+M304+N304+K280+L280+M280+N280+K256+M256+N256+L256+K232+L232+M232+N232+K208+L208+M208+N208+K184+L184+M184+N184+K160+L160+M160+N160+K136+L136+M136+N136+K112+L112+M112+N112+K88+L88+M88+N88+K66+L66+M66+N66</f>
        <v>0.8089134995700773</v>
      </c>
      <c r="H305" s="55"/>
      <c r="I305" s="55"/>
      <c r="J305" s="55"/>
      <c r="K305" s="314"/>
      <c r="L305" s="314"/>
      <c r="M305" s="314"/>
      <c r="N305" s="314"/>
    </row>
    <row r="306" spans="1:24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314"/>
      <c r="L306" s="314"/>
      <c r="M306" s="314"/>
      <c r="N306" s="314"/>
    </row>
    <row r="307" spans="1:24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314"/>
      <c r="L307" s="314"/>
      <c r="M307" s="314"/>
      <c r="N307" s="314"/>
      <c r="O307" s="314"/>
      <c r="P307" s="55"/>
    </row>
    <row r="308" spans="1:24" s="32" customFormat="1" x14ac:dyDescent="0.25">
      <c r="A308" s="33"/>
      <c r="B308" s="33"/>
      <c r="C308" s="33"/>
      <c r="D308" s="76"/>
      <c r="E308" s="33"/>
      <c r="F308" s="33"/>
      <c r="G308" s="33"/>
      <c r="H308" s="33"/>
      <c r="I308" s="33"/>
      <c r="J308" s="33"/>
      <c r="K308" s="315"/>
      <c r="L308" s="315"/>
      <c r="M308" s="315"/>
      <c r="N308" s="315"/>
      <c r="O308" s="315"/>
      <c r="P308" s="33"/>
      <c r="Q308" s="33"/>
      <c r="R308" s="33"/>
      <c r="S308" s="33"/>
      <c r="T308" s="33"/>
      <c r="U308" s="33"/>
      <c r="V308" s="33"/>
      <c r="W308" s="33"/>
      <c r="X308" s="33"/>
    </row>
    <row r="309" spans="1:24" s="32" customFormat="1" x14ac:dyDescent="0.25">
      <c r="A309" s="33"/>
      <c r="B309" s="33"/>
      <c r="C309" s="33"/>
      <c r="D309" s="59"/>
      <c r="E309" s="77"/>
      <c r="F309" s="77"/>
      <c r="G309" s="78"/>
      <c r="H309" s="79"/>
      <c r="I309" s="80"/>
      <c r="J309" s="77"/>
      <c r="K309" s="316"/>
      <c r="L309" s="316"/>
      <c r="M309" s="315"/>
      <c r="N309" s="315"/>
      <c r="O309" s="315"/>
      <c r="P309" s="33"/>
      <c r="Q309" s="33"/>
      <c r="R309" s="33"/>
      <c r="S309" s="33"/>
      <c r="T309" s="33"/>
      <c r="U309" s="33"/>
      <c r="V309" s="33"/>
      <c r="W309" s="33"/>
      <c r="X309" s="33"/>
    </row>
    <row r="310" spans="1:24" s="32" customFormat="1" x14ac:dyDescent="0.25">
      <c r="A310" s="33"/>
      <c r="B310" s="33"/>
      <c r="C310" s="33"/>
      <c r="D310" s="59"/>
      <c r="E310" s="77"/>
      <c r="F310" s="77"/>
      <c r="G310" s="78"/>
      <c r="H310" s="79"/>
      <c r="I310" s="80"/>
      <c r="J310" s="77"/>
      <c r="K310" s="316"/>
      <c r="L310" s="316"/>
      <c r="M310" s="315"/>
      <c r="N310" s="315"/>
      <c r="O310" s="315"/>
      <c r="P310" s="33"/>
      <c r="Q310" s="33"/>
      <c r="R310" s="33"/>
      <c r="S310" s="33"/>
      <c r="T310" s="33"/>
      <c r="U310" s="33"/>
      <c r="V310" s="33"/>
      <c r="W310" s="33"/>
      <c r="X310" s="33"/>
    </row>
    <row r="311" spans="1:24" ht="12.75" customHeight="1" x14ac:dyDescent="0.25">
      <c r="A311" s="427"/>
      <c r="B311" s="427"/>
      <c r="C311" s="55"/>
      <c r="D311" s="55"/>
      <c r="E311" s="55"/>
      <c r="F311" s="55"/>
      <c r="G311" s="55"/>
      <c r="H311" s="55"/>
      <c r="I311" s="55"/>
      <c r="J311" s="55"/>
      <c r="K311" s="314"/>
      <c r="L311" s="314"/>
      <c r="M311" s="314"/>
      <c r="N311" s="314"/>
      <c r="O311" s="317"/>
      <c r="P311" s="39"/>
      <c r="Q311" s="39"/>
    </row>
    <row r="312" spans="1:24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314"/>
      <c r="L312" s="314"/>
      <c r="M312" s="314"/>
      <c r="N312" s="314"/>
      <c r="O312" s="317"/>
      <c r="P312" s="39"/>
      <c r="Q312" s="39"/>
    </row>
    <row r="313" spans="1:24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314"/>
      <c r="L313" s="314"/>
      <c r="M313" s="314"/>
      <c r="N313" s="314"/>
      <c r="O313" s="317"/>
      <c r="P313" s="39"/>
      <c r="Q313" s="39"/>
    </row>
    <row r="314" spans="1:24" x14ac:dyDescent="0.25">
      <c r="A314" s="55"/>
      <c r="B314" s="57"/>
      <c r="C314" s="55"/>
      <c r="D314" s="55"/>
      <c r="E314" s="55"/>
      <c r="F314" s="55"/>
      <c r="G314" s="55"/>
      <c r="H314" s="55"/>
      <c r="I314" s="55"/>
      <c r="J314" s="55"/>
      <c r="K314" s="314"/>
      <c r="L314" s="314"/>
      <c r="M314" s="314"/>
      <c r="N314" s="314"/>
      <c r="O314" s="317"/>
      <c r="P314" s="39"/>
      <c r="Q314" s="39"/>
    </row>
    <row r="315" spans="1:24" x14ac:dyDescent="0.25">
      <c r="A315" s="55"/>
      <c r="B315" s="57"/>
      <c r="C315" s="55"/>
      <c r="D315" s="55"/>
      <c r="E315" s="55"/>
      <c r="F315" s="55"/>
      <c r="G315" s="55"/>
      <c r="H315" s="55"/>
      <c r="I315" s="55"/>
      <c r="J315" s="55"/>
      <c r="K315" s="314"/>
      <c r="L315" s="314"/>
      <c r="M315" s="314"/>
      <c r="N315" s="314"/>
      <c r="O315" s="317"/>
      <c r="P315" s="39"/>
      <c r="Q315" s="39"/>
    </row>
    <row r="316" spans="1:24" x14ac:dyDescent="0.25">
      <c r="A316" s="55"/>
      <c r="B316" s="58"/>
      <c r="C316" s="55"/>
      <c r="D316" s="55"/>
      <c r="E316" s="55"/>
      <c r="F316" s="55"/>
      <c r="G316" s="55"/>
      <c r="H316" s="55"/>
      <c r="I316" s="55"/>
      <c r="J316" s="55"/>
      <c r="K316" s="314"/>
      <c r="L316" s="314"/>
      <c r="M316" s="314"/>
      <c r="N316" s="314"/>
      <c r="O316" s="317"/>
      <c r="P316" s="39"/>
      <c r="Q316" s="39"/>
    </row>
    <row r="317" spans="1:24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314"/>
      <c r="L317" s="314"/>
      <c r="M317" s="314"/>
      <c r="N317" s="314"/>
      <c r="O317" s="317"/>
      <c r="P317" s="39"/>
      <c r="Q317" s="39"/>
    </row>
    <row r="318" spans="1:24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314"/>
      <c r="L318" s="314"/>
      <c r="M318" s="314"/>
      <c r="N318" s="314"/>
      <c r="O318" s="317"/>
      <c r="P318" s="39"/>
      <c r="Q318" s="39"/>
    </row>
    <row r="319" spans="1:24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314"/>
      <c r="L319" s="314"/>
      <c r="M319" s="314"/>
      <c r="N319" s="314"/>
      <c r="O319" s="317"/>
      <c r="P319" s="39"/>
      <c r="Q319" s="39"/>
    </row>
    <row r="320" spans="1:24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314"/>
      <c r="L320" s="314"/>
      <c r="M320" s="314"/>
      <c r="N320" s="314"/>
      <c r="O320" s="317"/>
      <c r="P320" s="39"/>
      <c r="Q320" s="39"/>
    </row>
    <row r="321" spans="1:17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314"/>
      <c r="L321" s="314"/>
      <c r="M321" s="314"/>
      <c r="N321" s="314"/>
      <c r="O321" s="317"/>
      <c r="P321" s="39"/>
      <c r="Q321" s="39"/>
    </row>
    <row r="322" spans="1:17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314"/>
      <c r="L322" s="314"/>
      <c r="M322" s="314"/>
      <c r="N322" s="314"/>
      <c r="O322" s="317"/>
      <c r="P322" s="39"/>
      <c r="Q322" s="39"/>
    </row>
    <row r="323" spans="1:17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314"/>
      <c r="L323" s="314"/>
      <c r="M323" s="314"/>
      <c r="N323" s="314"/>
      <c r="O323" s="317"/>
      <c r="P323" s="39"/>
      <c r="Q323" s="39"/>
    </row>
    <row r="324" spans="1:17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314"/>
      <c r="L324" s="314"/>
      <c r="M324" s="314"/>
      <c r="N324" s="314"/>
      <c r="O324" s="317"/>
      <c r="P324" s="39"/>
      <c r="Q324" s="39"/>
    </row>
    <row r="325" spans="1:17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314"/>
      <c r="L325" s="314"/>
      <c r="M325" s="314"/>
      <c r="N325" s="314"/>
      <c r="O325" s="317"/>
      <c r="P325" s="39"/>
      <c r="Q325" s="39"/>
    </row>
    <row r="326" spans="1:17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314"/>
      <c r="L326" s="314"/>
      <c r="M326" s="314"/>
      <c r="N326" s="314"/>
      <c r="O326" s="317"/>
      <c r="P326" s="39"/>
      <c r="Q326" s="39"/>
    </row>
    <row r="327" spans="1:17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314"/>
      <c r="L327" s="314"/>
      <c r="M327" s="314"/>
      <c r="N327" s="314"/>
      <c r="O327" s="317"/>
      <c r="P327" s="39"/>
      <c r="Q327" s="39"/>
    </row>
    <row r="328" spans="1:17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314"/>
      <c r="L328" s="314"/>
      <c r="M328" s="314"/>
      <c r="N328" s="314"/>
      <c r="O328" s="317"/>
      <c r="P328" s="39"/>
      <c r="Q328" s="39"/>
    </row>
    <row r="329" spans="1:17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314"/>
      <c r="L329" s="314"/>
      <c r="M329" s="314"/>
      <c r="N329" s="314"/>
      <c r="O329" s="317"/>
      <c r="P329" s="39"/>
      <c r="Q329" s="39"/>
    </row>
    <row r="330" spans="1:17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314"/>
      <c r="L330" s="314"/>
      <c r="M330" s="314"/>
      <c r="N330" s="314"/>
      <c r="O330" s="317"/>
      <c r="P330" s="39"/>
      <c r="Q330" s="39"/>
    </row>
    <row r="331" spans="1:17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314"/>
      <c r="L331" s="314"/>
      <c r="M331" s="314"/>
      <c r="N331" s="314"/>
      <c r="O331" s="317"/>
      <c r="P331" s="39"/>
      <c r="Q331" s="39"/>
    </row>
    <row r="332" spans="1:17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314"/>
      <c r="L332" s="314"/>
      <c r="M332" s="314"/>
      <c r="N332" s="314"/>
      <c r="O332" s="317"/>
      <c r="P332" s="39"/>
      <c r="Q332" s="39"/>
    </row>
    <row r="333" spans="1:17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314"/>
      <c r="L333" s="314"/>
      <c r="M333" s="314"/>
      <c r="N333" s="314"/>
      <c r="O333" s="317"/>
      <c r="P333" s="39"/>
      <c r="Q333" s="39"/>
    </row>
    <row r="334" spans="1:17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314"/>
      <c r="L334" s="314"/>
      <c r="M334" s="314"/>
      <c r="N334" s="314"/>
      <c r="O334" s="317"/>
      <c r="P334" s="39"/>
      <c r="Q334" s="39"/>
    </row>
    <row r="335" spans="1:17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314"/>
      <c r="L335" s="314"/>
      <c r="M335" s="314"/>
      <c r="N335" s="314"/>
      <c r="O335" s="317"/>
      <c r="P335" s="39"/>
      <c r="Q335" s="39"/>
    </row>
    <row r="336" spans="1:17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314"/>
      <c r="L336" s="314"/>
      <c r="M336" s="314"/>
      <c r="N336" s="314"/>
      <c r="O336" s="317"/>
      <c r="P336" s="39"/>
      <c r="Q336" s="39"/>
    </row>
    <row r="337" spans="1:17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314"/>
      <c r="L337" s="314"/>
      <c r="M337" s="314"/>
      <c r="N337" s="314"/>
      <c r="O337" s="317"/>
      <c r="P337" s="39"/>
      <c r="Q337" s="39"/>
    </row>
    <row r="338" spans="1:17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314"/>
      <c r="L338" s="314"/>
      <c r="M338" s="314"/>
      <c r="N338" s="314"/>
      <c r="O338" s="317"/>
      <c r="P338" s="39"/>
      <c r="Q338" s="39"/>
    </row>
  </sheetData>
  <mergeCells count="91">
    <mergeCell ref="A30:H30"/>
    <mergeCell ref="I30:J30"/>
    <mergeCell ref="A31:H31"/>
    <mergeCell ref="K31:O31"/>
    <mergeCell ref="C7:F7"/>
    <mergeCell ref="G7:J7"/>
    <mergeCell ref="K7:M7"/>
    <mergeCell ref="N7:R7"/>
    <mergeCell ref="A1:P1"/>
    <mergeCell ref="C6:I6"/>
    <mergeCell ref="J6:Y6"/>
    <mergeCell ref="A3:J3"/>
    <mergeCell ref="W7:Y7"/>
    <mergeCell ref="S7:V7"/>
    <mergeCell ref="A35:H35"/>
    <mergeCell ref="K35:O35"/>
    <mergeCell ref="A37:H37"/>
    <mergeCell ref="A36:H36"/>
    <mergeCell ref="K36:O36"/>
    <mergeCell ref="K37:O37"/>
    <mergeCell ref="A34:H34"/>
    <mergeCell ref="K34:O34"/>
    <mergeCell ref="A32:H32"/>
    <mergeCell ref="K32:O32"/>
    <mergeCell ref="A33:H33"/>
    <mergeCell ref="K33:O33"/>
    <mergeCell ref="A40:H40"/>
    <mergeCell ref="K40:O40"/>
    <mergeCell ref="A38:H38"/>
    <mergeCell ref="K38:O38"/>
    <mergeCell ref="A39:H39"/>
    <mergeCell ref="K39:O39"/>
    <mergeCell ref="A305:F305"/>
    <mergeCell ref="A280:B280"/>
    <mergeCell ref="P114:P136"/>
    <mergeCell ref="A232:B232"/>
    <mergeCell ref="A233:P233"/>
    <mergeCell ref="A137:P137"/>
    <mergeCell ref="A161:P161"/>
    <mergeCell ref="M162:N184"/>
    <mergeCell ref="E186:F208"/>
    <mergeCell ref="A257:P257"/>
    <mergeCell ref="A281:P281"/>
    <mergeCell ref="P162:P184"/>
    <mergeCell ref="M186:N208"/>
    <mergeCell ref="P68:P88"/>
    <mergeCell ref="I186:J208"/>
    <mergeCell ref="P210:P232"/>
    <mergeCell ref="P186:P208"/>
    <mergeCell ref="A304:B304"/>
    <mergeCell ref="A256:B256"/>
    <mergeCell ref="A184:B184"/>
    <mergeCell ref="P90:P112"/>
    <mergeCell ref="P138:P160"/>
    <mergeCell ref="E90:F112"/>
    <mergeCell ref="I90:J112"/>
    <mergeCell ref="M90:N112"/>
    <mergeCell ref="I138:J160"/>
    <mergeCell ref="M138:N160"/>
    <mergeCell ref="A311:B311"/>
    <mergeCell ref="A67:P67"/>
    <mergeCell ref="A88:B88"/>
    <mergeCell ref="A89:P89"/>
    <mergeCell ref="A112:B112"/>
    <mergeCell ref="A208:B208"/>
    <mergeCell ref="A185:P185"/>
    <mergeCell ref="A113:P113"/>
    <mergeCell ref="A136:B136"/>
    <mergeCell ref="I162:J184"/>
    <mergeCell ref="E210:F232"/>
    <mergeCell ref="I210:J232"/>
    <mergeCell ref="M210:N232"/>
    <mergeCell ref="A209:P209"/>
    <mergeCell ref="E162:F184"/>
    <mergeCell ref="M68:N88"/>
    <mergeCell ref="A41:H41"/>
    <mergeCell ref="K41:O41"/>
    <mergeCell ref="A42:H42"/>
    <mergeCell ref="A160:B160"/>
    <mergeCell ref="A43:P43"/>
    <mergeCell ref="A66:B66"/>
    <mergeCell ref="E44:F66"/>
    <mergeCell ref="P44:P66"/>
    <mergeCell ref="I44:J66"/>
    <mergeCell ref="M44:N66"/>
    <mergeCell ref="E114:F136"/>
    <mergeCell ref="I114:J136"/>
    <mergeCell ref="M114:N136"/>
    <mergeCell ref="E138:F160"/>
    <mergeCell ref="E68:F88"/>
    <mergeCell ref="I68:J8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topLeftCell="A42" zoomScale="85" zoomScaleNormal="85" workbookViewId="0">
      <selection activeCell="B22" sqref="B22"/>
    </sheetView>
  </sheetViews>
  <sheetFormatPr defaultRowHeight="15" x14ac:dyDescent="0.25"/>
  <cols>
    <col min="2" max="2" width="46.28515625" style="115" customWidth="1"/>
    <col min="3" max="3" width="19.42578125" customWidth="1"/>
    <col min="4" max="4" width="14.140625" customWidth="1"/>
    <col min="5" max="5" width="13.42578125" customWidth="1"/>
    <col min="6" max="6" width="13" customWidth="1"/>
    <col min="7" max="7" width="15" customWidth="1"/>
    <col min="8" max="8" width="14.85546875" customWidth="1"/>
    <col min="9" max="9" width="16.42578125" customWidth="1"/>
  </cols>
  <sheetData>
    <row r="1" spans="1:9" ht="15.75" thickBot="1" x14ac:dyDescent="0.3">
      <c r="B1" s="477" t="s">
        <v>469</v>
      </c>
      <c r="C1" s="477"/>
      <c r="D1" s="477"/>
      <c r="E1" s="477"/>
      <c r="F1" s="477"/>
      <c r="G1" s="477"/>
      <c r="H1" s="477"/>
      <c r="I1" s="477"/>
    </row>
    <row r="2" spans="1:9" ht="33.75" customHeight="1" thickBot="1" x14ac:dyDescent="0.3">
      <c r="A2" s="470" t="s">
        <v>146</v>
      </c>
      <c r="B2" s="472" t="s">
        <v>447</v>
      </c>
      <c r="C2" s="473"/>
      <c r="D2" s="474" t="s">
        <v>144</v>
      </c>
      <c r="E2" s="475"/>
      <c r="F2" s="476"/>
      <c r="G2" s="474" t="s">
        <v>155</v>
      </c>
      <c r="H2" s="475"/>
      <c r="I2" s="476"/>
    </row>
    <row r="3" spans="1:9" ht="60.75" thickBot="1" x14ac:dyDescent="0.3">
      <c r="A3" s="471"/>
      <c r="B3" s="138" t="s">
        <v>95</v>
      </c>
      <c r="C3" s="137" t="s">
        <v>96</v>
      </c>
      <c r="D3" s="139" t="s">
        <v>145</v>
      </c>
      <c r="E3" s="136" t="s">
        <v>108</v>
      </c>
      <c r="F3" s="137" t="s">
        <v>97</v>
      </c>
      <c r="G3" s="139" t="s">
        <v>145</v>
      </c>
      <c r="H3" s="136" t="s">
        <v>108</v>
      </c>
      <c r="I3" s="137" t="s">
        <v>97</v>
      </c>
    </row>
    <row r="4" spans="1:9" ht="15.75" thickBot="1" x14ac:dyDescent="0.3">
      <c r="A4" s="140">
        <v>1</v>
      </c>
      <c r="B4" s="133">
        <v>2</v>
      </c>
      <c r="C4" s="135">
        <v>3</v>
      </c>
      <c r="D4" s="133">
        <v>4</v>
      </c>
      <c r="E4" s="134">
        <v>5</v>
      </c>
      <c r="F4" s="135">
        <v>6</v>
      </c>
      <c r="G4" s="133">
        <v>7</v>
      </c>
      <c r="H4" s="134">
        <v>8</v>
      </c>
      <c r="I4" s="135">
        <v>9</v>
      </c>
    </row>
    <row r="5" spans="1:9" x14ac:dyDescent="0.25">
      <c r="A5" s="152">
        <v>1</v>
      </c>
      <c r="B5" s="120" t="s">
        <v>140</v>
      </c>
      <c r="C5" s="103" t="s">
        <v>41</v>
      </c>
      <c r="D5" s="276">
        <v>0.04</v>
      </c>
      <c r="E5" s="274">
        <v>0</v>
      </c>
      <c r="F5" s="275">
        <v>0</v>
      </c>
      <c r="G5" s="274">
        <v>0</v>
      </c>
      <c r="H5" s="276">
        <v>4.4999999999999998E-2</v>
      </c>
      <c r="I5" s="275">
        <v>0</v>
      </c>
    </row>
    <row r="6" spans="1:9" x14ac:dyDescent="0.25">
      <c r="A6" s="153">
        <v>2</v>
      </c>
      <c r="B6" s="118" t="s">
        <v>141</v>
      </c>
      <c r="C6" s="104" t="s">
        <v>41</v>
      </c>
      <c r="D6" s="276">
        <v>0.04</v>
      </c>
      <c r="E6" s="276">
        <v>0</v>
      </c>
      <c r="F6" s="277">
        <v>0</v>
      </c>
      <c r="G6" s="276">
        <v>0</v>
      </c>
      <c r="H6" s="276">
        <v>4.4999999999999998E-2</v>
      </c>
      <c r="I6" s="277">
        <v>0</v>
      </c>
    </row>
    <row r="7" spans="1:9" x14ac:dyDescent="0.25">
      <c r="A7" s="153">
        <v>3</v>
      </c>
      <c r="B7" s="118" t="s">
        <v>142</v>
      </c>
      <c r="C7" s="104" t="s">
        <v>41</v>
      </c>
      <c r="D7" s="364">
        <v>0</v>
      </c>
      <c r="E7" s="276">
        <v>0</v>
      </c>
      <c r="F7" s="277">
        <v>0</v>
      </c>
      <c r="G7" s="276">
        <v>0</v>
      </c>
      <c r="H7" s="276">
        <v>0</v>
      </c>
      <c r="I7" s="277">
        <v>0</v>
      </c>
    </row>
    <row r="8" spans="1:9" ht="30" x14ac:dyDescent="0.25">
      <c r="A8" s="153">
        <v>4</v>
      </c>
      <c r="B8" s="118" t="s">
        <v>143</v>
      </c>
      <c r="C8" s="104" t="s">
        <v>41</v>
      </c>
      <c r="D8" s="364">
        <v>0</v>
      </c>
      <c r="E8" s="276">
        <v>0</v>
      </c>
      <c r="F8" s="277">
        <v>0</v>
      </c>
      <c r="G8" s="276">
        <v>0</v>
      </c>
      <c r="H8" s="276">
        <v>0</v>
      </c>
      <c r="I8" s="277">
        <v>0</v>
      </c>
    </row>
    <row r="9" spans="1:9" ht="30.75" thickBot="1" x14ac:dyDescent="0.3">
      <c r="A9" s="154">
        <v>5</v>
      </c>
      <c r="B9" s="119" t="s">
        <v>98</v>
      </c>
      <c r="C9" s="107" t="s">
        <v>41</v>
      </c>
      <c r="D9" s="365">
        <v>1</v>
      </c>
      <c r="E9" s="278">
        <v>0</v>
      </c>
      <c r="F9" s="107" t="s">
        <v>99</v>
      </c>
      <c r="G9" s="278">
        <v>0</v>
      </c>
      <c r="H9" s="278">
        <v>1</v>
      </c>
      <c r="I9" s="107" t="s">
        <v>99</v>
      </c>
    </row>
    <row r="10" spans="1:9" ht="45.75" hidden="1" customHeight="1" thickBot="1" x14ac:dyDescent="0.3">
      <c r="A10" s="155"/>
      <c r="B10" s="121" t="s">
        <v>123</v>
      </c>
      <c r="C10" s="379" t="s">
        <v>41</v>
      </c>
      <c r="D10" s="366">
        <f>D9+D36/(10+6.03*SQRT(5))</f>
        <v>1.1064577714038877</v>
      </c>
      <c r="E10" s="122">
        <f>E9+E36/(10+6.03*SQRT(5))</f>
        <v>0</v>
      </c>
      <c r="F10" s="100" t="s">
        <v>99</v>
      </c>
      <c r="G10" s="122">
        <f>G9+G36/(10+6.03*SQRT(5))</f>
        <v>0</v>
      </c>
      <c r="H10" s="122">
        <f>H9+H36/(10+6.03*SQRT(5))</f>
        <v>1.1064577714038877</v>
      </c>
      <c r="I10" s="100" t="s">
        <v>99</v>
      </c>
    </row>
    <row r="11" spans="1:9" x14ac:dyDescent="0.25">
      <c r="A11" s="156">
        <v>6</v>
      </c>
      <c r="B11" s="117" t="s">
        <v>100</v>
      </c>
      <c r="C11" s="103" t="s">
        <v>41</v>
      </c>
      <c r="D11" s="367">
        <v>1.5</v>
      </c>
      <c r="E11" s="102" t="s">
        <v>99</v>
      </c>
      <c r="F11" s="103" t="s">
        <v>99</v>
      </c>
      <c r="G11" s="279">
        <v>0</v>
      </c>
      <c r="H11" s="102" t="s">
        <v>99</v>
      </c>
      <c r="I11" s="103" t="s">
        <v>99</v>
      </c>
    </row>
    <row r="12" spans="1:9" x14ac:dyDescent="0.25">
      <c r="A12" s="153">
        <v>7</v>
      </c>
      <c r="B12" s="118" t="s">
        <v>101</v>
      </c>
      <c r="C12" s="104" t="s">
        <v>41</v>
      </c>
      <c r="D12" s="364">
        <v>0.6</v>
      </c>
      <c r="E12" s="91" t="s">
        <v>99</v>
      </c>
      <c r="F12" s="104" t="s">
        <v>99</v>
      </c>
      <c r="G12" s="276">
        <v>0</v>
      </c>
      <c r="H12" s="91" t="s">
        <v>99</v>
      </c>
      <c r="I12" s="104" t="s">
        <v>99</v>
      </c>
    </row>
    <row r="13" spans="1:9" ht="15.75" thickBot="1" x14ac:dyDescent="0.3">
      <c r="A13" s="154">
        <v>8</v>
      </c>
      <c r="B13" s="119" t="s">
        <v>102</v>
      </c>
      <c r="C13" s="107" t="s">
        <v>41</v>
      </c>
      <c r="D13" s="368">
        <v>0.1</v>
      </c>
      <c r="E13" s="105" t="s">
        <v>99</v>
      </c>
      <c r="F13" s="107" t="s">
        <v>99</v>
      </c>
      <c r="G13" s="280">
        <v>0</v>
      </c>
      <c r="H13" s="105" t="s">
        <v>99</v>
      </c>
      <c r="I13" s="107" t="s">
        <v>99</v>
      </c>
    </row>
    <row r="14" spans="1:9" ht="30" x14ac:dyDescent="0.25">
      <c r="A14" s="156">
        <v>9</v>
      </c>
      <c r="B14" s="117" t="s">
        <v>126</v>
      </c>
      <c r="C14" s="103" t="s">
        <v>41</v>
      </c>
      <c r="D14" s="369" t="s">
        <v>99</v>
      </c>
      <c r="E14" s="279"/>
      <c r="F14" s="103"/>
      <c r="G14" s="102" t="s">
        <v>99</v>
      </c>
      <c r="H14" s="279"/>
      <c r="I14" s="103"/>
    </row>
    <row r="15" spans="1:9" ht="30" x14ac:dyDescent="0.25">
      <c r="A15" s="153">
        <v>10</v>
      </c>
      <c r="B15" s="118" t="s">
        <v>127</v>
      </c>
      <c r="C15" s="104" t="s">
        <v>41</v>
      </c>
      <c r="D15" s="370" t="s">
        <v>99</v>
      </c>
      <c r="E15" s="276"/>
      <c r="F15" s="104"/>
      <c r="G15" s="91" t="s">
        <v>99</v>
      </c>
      <c r="H15" s="276"/>
      <c r="I15" s="104"/>
    </row>
    <row r="16" spans="1:9" ht="30.75" thickBot="1" x14ac:dyDescent="0.3">
      <c r="A16" s="154">
        <v>11</v>
      </c>
      <c r="B16" s="119" t="s">
        <v>128</v>
      </c>
      <c r="C16" s="107" t="s">
        <v>41</v>
      </c>
      <c r="D16" s="371" t="s">
        <v>99</v>
      </c>
      <c r="E16" s="280"/>
      <c r="F16" s="107"/>
      <c r="G16" s="105" t="s">
        <v>99</v>
      </c>
      <c r="H16" s="280"/>
      <c r="I16" s="107"/>
    </row>
    <row r="17" spans="1:9" ht="15.75" hidden="1" customHeight="1" x14ac:dyDescent="0.25">
      <c r="A17" s="157"/>
      <c r="B17" s="120" t="s">
        <v>111</v>
      </c>
      <c r="C17" s="380" t="s">
        <v>41</v>
      </c>
      <c r="D17" s="372">
        <f>IF((D11+D12)=0,0,2*D11*D12/(D11+D12))</f>
        <v>0.85714285714285698</v>
      </c>
      <c r="E17" s="94" t="s">
        <v>99</v>
      </c>
      <c r="F17" s="94" t="s">
        <v>99</v>
      </c>
      <c r="G17" s="123">
        <f>IF((G11+G12)=0,0,2*G11*G12/(G11+G12))</f>
        <v>0</v>
      </c>
      <c r="H17" s="94" t="s">
        <v>99</v>
      </c>
      <c r="I17" s="94" t="s">
        <v>99</v>
      </c>
    </row>
    <row r="18" spans="1:9" ht="15.75" hidden="1" customHeight="1" x14ac:dyDescent="0.25">
      <c r="A18" s="158"/>
      <c r="B18" s="118" t="s">
        <v>110</v>
      </c>
      <c r="C18" s="104" t="s">
        <v>41</v>
      </c>
      <c r="D18" s="373">
        <f>IF((D11+D12+D13*2+D13*2)=0,0,2*(D11+D13)*(D12+D13)/(D11+D12+2*D13+2*D13))</f>
        <v>0.8959999999999998</v>
      </c>
      <c r="E18" s="91" t="s">
        <v>99</v>
      </c>
      <c r="F18" s="91" t="s">
        <v>99</v>
      </c>
      <c r="G18" s="97">
        <f>IF((G11+G12+G13*2+G13*2)=0,0,2*(G11+G13)*(G12+G13)/(G11+G12+2*G13+2*G13))</f>
        <v>0</v>
      </c>
      <c r="H18" s="91" t="s">
        <v>99</v>
      </c>
      <c r="I18" s="91" t="s">
        <v>99</v>
      </c>
    </row>
    <row r="19" spans="1:9" ht="30.75" hidden="1" customHeight="1" x14ac:dyDescent="0.25">
      <c r="A19" s="158"/>
      <c r="B19" s="118" t="s">
        <v>112</v>
      </c>
      <c r="C19" s="104" t="s">
        <v>116</v>
      </c>
      <c r="D19" s="373">
        <f>IF(D46=0,0,1.2/D46)</f>
        <v>0.31109982362438587</v>
      </c>
      <c r="E19" s="91" t="s">
        <v>99</v>
      </c>
      <c r="F19" s="91" t="s">
        <v>99</v>
      </c>
      <c r="G19" s="97">
        <f>IF(G46=0,0,1.2/G46)</f>
        <v>0</v>
      </c>
      <c r="H19" s="91" t="s">
        <v>99</v>
      </c>
      <c r="I19" s="91" t="s">
        <v>99</v>
      </c>
    </row>
    <row r="20" spans="1:9" ht="15.75" hidden="1" customHeight="1" x14ac:dyDescent="0.25">
      <c r="A20" s="158"/>
      <c r="B20" s="118" t="s">
        <v>113</v>
      </c>
      <c r="C20" s="104" t="s">
        <v>116</v>
      </c>
      <c r="D20" s="373">
        <f>IF(D47=0,0,1.2/D47)</f>
        <v>0.30233952781872164</v>
      </c>
      <c r="E20" s="91" t="s">
        <v>99</v>
      </c>
      <c r="F20" s="91" t="s">
        <v>99</v>
      </c>
      <c r="G20" s="97">
        <f>IF(G47=0,0,1.2/G47)</f>
        <v>0</v>
      </c>
      <c r="H20" s="91" t="s">
        <v>99</v>
      </c>
      <c r="I20" s="91" t="s">
        <v>99</v>
      </c>
    </row>
    <row r="21" spans="1:9" ht="15.75" hidden="1" customHeight="1" x14ac:dyDescent="0.25">
      <c r="A21" s="158"/>
      <c r="B21" s="118" t="s">
        <v>114</v>
      </c>
      <c r="C21" s="104" t="s">
        <v>116</v>
      </c>
      <c r="D21" s="373">
        <f>IF(D48=0,0,1.2/D48)</f>
        <v>0</v>
      </c>
      <c r="E21" s="91" t="s">
        <v>99</v>
      </c>
      <c r="F21" s="91" t="s">
        <v>99</v>
      </c>
      <c r="G21" s="97">
        <f>IF(G48=0,0,1.2/G48)</f>
        <v>0</v>
      </c>
      <c r="H21" s="91" t="s">
        <v>99</v>
      </c>
      <c r="I21" s="91" t="s">
        <v>99</v>
      </c>
    </row>
    <row r="22" spans="1:9" ht="30.75" hidden="1" customHeight="1" x14ac:dyDescent="0.25">
      <c r="A22" s="158"/>
      <c r="B22" s="118" t="s">
        <v>115</v>
      </c>
      <c r="C22" s="104" t="s">
        <v>116</v>
      </c>
      <c r="D22" s="373">
        <f>IF(D49=0,0,1.2/D49)</f>
        <v>0</v>
      </c>
      <c r="E22" s="91" t="s">
        <v>99</v>
      </c>
      <c r="F22" s="91" t="s">
        <v>99</v>
      </c>
      <c r="G22" s="97">
        <f>IF(G49=0,0,1.2/G49)</f>
        <v>0</v>
      </c>
      <c r="H22" s="91" t="s">
        <v>99</v>
      </c>
      <c r="I22" s="91" t="s">
        <v>99</v>
      </c>
    </row>
    <row r="23" spans="1:9" ht="15.75" hidden="1" customHeight="1" thickBot="1" x14ac:dyDescent="0.3">
      <c r="A23" s="159"/>
      <c r="B23" s="116" t="s">
        <v>117</v>
      </c>
      <c r="C23" s="110" t="s">
        <v>116</v>
      </c>
      <c r="D23" s="374">
        <f>IF(D50=0,0,1/D50)</f>
        <v>6.5350311338229528</v>
      </c>
      <c r="E23" s="93"/>
      <c r="F23" s="93" t="s">
        <v>99</v>
      </c>
      <c r="G23" s="124" t="e">
        <f>IF(G50=0,0,1/G50)</f>
        <v>#VALUE!</v>
      </c>
      <c r="H23" s="93"/>
      <c r="I23" s="93" t="s">
        <v>99</v>
      </c>
    </row>
    <row r="24" spans="1:9" ht="30" x14ac:dyDescent="0.25">
      <c r="A24" s="156">
        <v>13</v>
      </c>
      <c r="B24" s="117" t="s">
        <v>103</v>
      </c>
      <c r="C24" s="103" t="s">
        <v>92</v>
      </c>
      <c r="D24" s="375">
        <f>'норм втрати'!$J$32</f>
        <v>62.892512613786764</v>
      </c>
      <c r="E24" s="111">
        <f>'норм втрати'!$J$32</f>
        <v>62.892512613786764</v>
      </c>
      <c r="F24" s="112">
        <f>'норм втрати'!$J$32</f>
        <v>62.892512613786764</v>
      </c>
      <c r="G24" s="111">
        <f>'норм втрати'!$J$32</f>
        <v>62.892512613786764</v>
      </c>
      <c r="H24" s="111">
        <f>'норм втрати'!$J$32</f>
        <v>62.892512613786764</v>
      </c>
      <c r="I24" s="112">
        <f>'норм втрати'!$J$32</f>
        <v>62.892512613786764</v>
      </c>
    </row>
    <row r="25" spans="1:9" x14ac:dyDescent="0.25">
      <c r="A25" s="153">
        <v>14</v>
      </c>
      <c r="B25" s="118" t="s">
        <v>104</v>
      </c>
      <c r="C25" s="104" t="s">
        <v>92</v>
      </c>
      <c r="D25" s="376">
        <f>'норм втрати'!$J$33</f>
        <v>46.772061329060016</v>
      </c>
      <c r="E25" s="92">
        <f>'норм втрати'!$J$33</f>
        <v>46.772061329060016</v>
      </c>
      <c r="F25" s="113">
        <f>'норм втрати'!$J$33</f>
        <v>46.772061329060016</v>
      </c>
      <c r="G25" s="92">
        <f>'норм втрати'!$J$33</f>
        <v>46.772061329060016</v>
      </c>
      <c r="H25" s="92">
        <f>'норм втрати'!$J$33</f>
        <v>46.772061329060016</v>
      </c>
      <c r="I25" s="113">
        <f>'норм втрати'!$J$33</f>
        <v>46.772061329060016</v>
      </c>
    </row>
    <row r="26" spans="1:9" x14ac:dyDescent="0.25">
      <c r="A26" s="153">
        <v>15</v>
      </c>
      <c r="B26" s="118" t="s">
        <v>79</v>
      </c>
      <c r="C26" s="104" t="s">
        <v>92</v>
      </c>
      <c r="D26" s="370">
        <f>'норм втрати'!$I$35</f>
        <v>55</v>
      </c>
      <c r="E26" s="91">
        <f>'норм втрати'!$I$35</f>
        <v>55</v>
      </c>
      <c r="F26" s="104">
        <f>'норм втрати'!$I$35</f>
        <v>55</v>
      </c>
      <c r="G26" s="91">
        <f>'норм втрати'!$I$35</f>
        <v>55</v>
      </c>
      <c r="H26" s="91">
        <f>'норм втрати'!$I$35</f>
        <v>55</v>
      </c>
      <c r="I26" s="104">
        <f>'норм втрати'!$I$35</f>
        <v>55</v>
      </c>
    </row>
    <row r="27" spans="1:9" x14ac:dyDescent="0.25">
      <c r="A27" s="153">
        <v>16</v>
      </c>
      <c r="B27" s="118" t="s">
        <v>80</v>
      </c>
      <c r="C27" s="104" t="s">
        <v>92</v>
      </c>
      <c r="D27" s="370">
        <f>'норм втрати'!$I$36</f>
        <v>40</v>
      </c>
      <c r="E27" s="91">
        <f>'норм втрати'!$I$36</f>
        <v>40</v>
      </c>
      <c r="F27" s="104">
        <f>'норм втрати'!$I$36</f>
        <v>40</v>
      </c>
      <c r="G27" s="91">
        <f>'норм втрати'!$I$36</f>
        <v>40</v>
      </c>
      <c r="H27" s="91">
        <f>'норм втрати'!$I$36</f>
        <v>40</v>
      </c>
      <c r="I27" s="104">
        <f>'норм втрати'!$I$36</f>
        <v>40</v>
      </c>
    </row>
    <row r="28" spans="1:9" ht="30" x14ac:dyDescent="0.25">
      <c r="A28" s="153">
        <v>17</v>
      </c>
      <c r="B28" s="118" t="s">
        <v>425</v>
      </c>
      <c r="C28" s="104" t="s">
        <v>92</v>
      </c>
      <c r="D28" s="370" t="s">
        <v>99</v>
      </c>
      <c r="E28" s="91" t="s">
        <v>99</v>
      </c>
      <c r="F28" s="113">
        <f>'норм втрати'!J37</f>
        <v>-0.88395721925133708</v>
      </c>
      <c r="G28" s="91" t="s">
        <v>99</v>
      </c>
      <c r="H28" s="91" t="s">
        <v>99</v>
      </c>
      <c r="I28" s="113">
        <f>'норм втрати'!J37</f>
        <v>-0.88395721925133708</v>
      </c>
    </row>
    <row r="29" spans="1:9" ht="30" x14ac:dyDescent="0.25">
      <c r="A29" s="227">
        <v>18</v>
      </c>
      <c r="B29" s="118" t="s">
        <v>426</v>
      </c>
      <c r="C29" s="104" t="s">
        <v>92</v>
      </c>
      <c r="D29" s="370" t="s">
        <v>99</v>
      </c>
      <c r="E29" s="91" t="s">
        <v>99</v>
      </c>
      <c r="F29" s="113">
        <f>IF('норм втрати'!$I$39-'норм втрати'!$J$39=0,0,('норм втрати'!$I$37*'норм втрати'!$I$39-'норм втрати'!$J$37*'норм втрати'!$J$39)/('норм втрати'!$I$39-'норм втрати'!$J$39))</f>
        <v>15.035975609756099</v>
      </c>
      <c r="G29" s="91" t="s">
        <v>99</v>
      </c>
      <c r="H29" s="91" t="s">
        <v>99</v>
      </c>
      <c r="I29" s="113">
        <f>IF('норм втрати'!$I$39-'норм втрати'!$J$39=0,0,('норм втрати'!$I$37*'норм втрати'!$I$39-'норм втрати'!$J$37*'норм втрати'!$J$39)/('норм втрати'!$I$39-'норм втрати'!$J$39))</f>
        <v>15.035975609756099</v>
      </c>
    </row>
    <row r="30" spans="1:9" ht="30" x14ac:dyDescent="0.25">
      <c r="A30" s="153">
        <v>19</v>
      </c>
      <c r="B30" s="118" t="s">
        <v>422</v>
      </c>
      <c r="C30" s="104" t="s">
        <v>92</v>
      </c>
      <c r="D30" s="376">
        <f>IF(($D$19+$D$20+$D$21+$D$22+$D$23)=0,0,($D$19*$D$24+$D$20*$D$25+$D$21*$D$26+$D$22*$D$27+$D$23*$D$32)/($D$19+$D$20+$D$21+$D$22+$D$23))</f>
        <v>9.2861890280888382</v>
      </c>
      <c r="E30" s="91" t="s">
        <v>99</v>
      </c>
      <c r="F30" s="104" t="s">
        <v>99</v>
      </c>
      <c r="G30" s="92" t="e">
        <f>IF((G19+G20+G21+G22+G23)=0,0,(G19*G24+G20*G25+G21*G26+G22*G27+G23*G32)/(G19+G20+G21+G22+G23))</f>
        <v>#VALUE!</v>
      </c>
      <c r="H30" s="91" t="s">
        <v>99</v>
      </c>
      <c r="I30" s="104" t="s">
        <v>99</v>
      </c>
    </row>
    <row r="31" spans="1:9" ht="30" x14ac:dyDescent="0.25">
      <c r="A31" s="231">
        <v>20</v>
      </c>
      <c r="B31" s="118" t="s">
        <v>423</v>
      </c>
      <c r="C31" s="104" t="s">
        <v>92</v>
      </c>
      <c r="D31" s="376">
        <f>IF((D21+D22+D23)=0,0,(D21*D26+D22*D27+D23*D33)/(D21+D22+D23))</f>
        <v>15.701219512195122</v>
      </c>
      <c r="E31" s="91" t="s">
        <v>99</v>
      </c>
      <c r="F31" s="104" t="s">
        <v>99</v>
      </c>
      <c r="G31" s="92" t="e">
        <f>IF((G21+G22+G23)=0,0,(G21*G26+G22*G27+G23*G33)/(G21+G22+G23))</f>
        <v>#VALUE!</v>
      </c>
      <c r="H31" s="91" t="s">
        <v>99</v>
      </c>
      <c r="I31" s="104" t="s">
        <v>99</v>
      </c>
    </row>
    <row r="32" spans="1:9" ht="45" x14ac:dyDescent="0.25">
      <c r="A32" s="229">
        <v>21</v>
      </c>
      <c r="B32" s="116" t="s">
        <v>424</v>
      </c>
      <c r="C32" s="110" t="s">
        <v>92</v>
      </c>
      <c r="D32" s="378">
        <f>'норм втрати'!$J$38</f>
        <v>5</v>
      </c>
      <c r="E32" s="96">
        <f>'норм втрати'!$J$38</f>
        <v>5</v>
      </c>
      <c r="F32" s="110" t="s">
        <v>99</v>
      </c>
      <c r="G32" s="96">
        <f>'норм втрати'!$J$38</f>
        <v>5</v>
      </c>
      <c r="H32" s="96">
        <f>'норм втрати'!$J$38</f>
        <v>5</v>
      </c>
      <c r="I32" s="110" t="s">
        <v>99</v>
      </c>
    </row>
    <row r="33" spans="1:9" ht="45.75" thickBot="1" x14ac:dyDescent="0.3">
      <c r="A33" s="232">
        <v>22</v>
      </c>
      <c r="B33" s="230" t="s">
        <v>444</v>
      </c>
      <c r="C33" s="110" t="s">
        <v>92</v>
      </c>
      <c r="D33" s="377">
        <f>IF('норм втрати'!$I$39-'норм втрати'!$J$39=0,0,('норм втрати'!$I$39*'норм втрати'!$I$38-'норм втрати'!$J$38*'норм втрати'!$J$39)/('норм втрати'!$I$39-'норм втрати'!$J$39))</f>
        <v>15.701219512195122</v>
      </c>
      <c r="E33" s="106">
        <f>IF('норм втрати'!$I$39-'норм втрати'!$J$39=0,0,('норм втрати'!$I$39*'норм втрати'!$I$38-'норм втрати'!$J$38*'норм втрати'!$J$39)/('норм втрати'!$I$39-'норм втрати'!$J$39))</f>
        <v>15.701219512195122</v>
      </c>
      <c r="F33" s="107" t="s">
        <v>99</v>
      </c>
      <c r="G33" s="106">
        <f>IF('норм втрати'!$I$39-'норм втрати'!$J$39=0,0,('норм втрати'!$I$39*'норм втрати'!$I$38-'норм втрати'!$J$38*'норм втрати'!$J$39)/('норм втрати'!$I$39-'норм втрати'!$J$39))</f>
        <v>15.701219512195122</v>
      </c>
      <c r="H33" s="106">
        <f>IF('норм втрати'!$I$39-'норм втрати'!$J$39=0,0,('норм втрати'!$I$39*'норм втрати'!$I$38-'норм втрати'!$J$38*'норм втрати'!$J$39)/('норм втрати'!$I$39-'норм втрати'!$J$39))</f>
        <v>15.701219512195122</v>
      </c>
      <c r="I33" s="107" t="s">
        <v>99</v>
      </c>
    </row>
    <row r="34" spans="1:9" ht="30" x14ac:dyDescent="0.25">
      <c r="A34" s="156">
        <v>23</v>
      </c>
      <c r="B34" s="117" t="s">
        <v>81</v>
      </c>
      <c r="C34" s="103" t="s">
        <v>93</v>
      </c>
      <c r="D34" s="369" t="s">
        <v>99</v>
      </c>
      <c r="E34" s="102" t="s">
        <v>99</v>
      </c>
      <c r="F34" s="103">
        <v>29</v>
      </c>
      <c r="G34" s="102" t="s">
        <v>99</v>
      </c>
      <c r="H34" s="102" t="s">
        <v>99</v>
      </c>
      <c r="I34" s="103">
        <v>29</v>
      </c>
    </row>
    <row r="35" spans="1:9" ht="30" x14ac:dyDescent="0.25">
      <c r="A35" s="153">
        <v>24</v>
      </c>
      <c r="B35" s="118" t="s">
        <v>105</v>
      </c>
      <c r="C35" s="104" t="s">
        <v>93</v>
      </c>
      <c r="D35" s="370">
        <v>8</v>
      </c>
      <c r="E35" s="91" t="s">
        <v>99</v>
      </c>
      <c r="F35" s="104" t="s">
        <v>99</v>
      </c>
      <c r="G35" s="91">
        <v>8</v>
      </c>
      <c r="H35" s="91" t="s">
        <v>99</v>
      </c>
      <c r="I35" s="104" t="s">
        <v>99</v>
      </c>
    </row>
    <row r="36" spans="1:9" x14ac:dyDescent="0.25">
      <c r="A36" s="153">
        <v>25</v>
      </c>
      <c r="B36" s="118" t="s">
        <v>106</v>
      </c>
      <c r="C36" s="104" t="s">
        <v>94</v>
      </c>
      <c r="D36" s="364">
        <v>2.5</v>
      </c>
      <c r="E36" s="276"/>
      <c r="F36" s="104" t="s">
        <v>99</v>
      </c>
      <c r="G36" s="276"/>
      <c r="H36" s="276">
        <v>2.5</v>
      </c>
      <c r="I36" s="104" t="s">
        <v>99</v>
      </c>
    </row>
    <row r="37" spans="1:9" ht="15.75" thickBot="1" x14ac:dyDescent="0.3">
      <c r="A37" s="154">
        <v>26</v>
      </c>
      <c r="B37" s="119" t="s">
        <v>109</v>
      </c>
      <c r="C37" s="107" t="s">
        <v>94</v>
      </c>
      <c r="D37" s="368">
        <v>1.69</v>
      </c>
      <c r="E37" s="105" t="s">
        <v>99</v>
      </c>
      <c r="F37" s="107" t="s">
        <v>99</v>
      </c>
      <c r="G37" s="280"/>
      <c r="H37" s="105" t="s">
        <v>99</v>
      </c>
      <c r="I37" s="107" t="s">
        <v>99</v>
      </c>
    </row>
    <row r="38" spans="1:9" ht="15.75" thickBot="1" x14ac:dyDescent="0.3">
      <c r="A38" s="156">
        <v>27</v>
      </c>
      <c r="B38" s="117" t="s">
        <v>82</v>
      </c>
      <c r="C38" s="103" t="s">
        <v>41</v>
      </c>
      <c r="D38" s="367">
        <v>0.05</v>
      </c>
      <c r="E38" s="279"/>
      <c r="F38" s="281"/>
      <c r="G38" s="279"/>
      <c r="H38" s="279">
        <v>3.4000000000000002E-2</v>
      </c>
      <c r="I38" s="281"/>
    </row>
    <row r="39" spans="1:9" x14ac:dyDescent="0.25">
      <c r="A39" s="153">
        <v>28</v>
      </c>
      <c r="B39" s="118" t="s">
        <v>83</v>
      </c>
      <c r="C39" s="104" t="s">
        <v>41</v>
      </c>
      <c r="D39" s="364">
        <v>0.05</v>
      </c>
      <c r="E39" s="276"/>
      <c r="F39" s="277"/>
      <c r="G39" s="276"/>
      <c r="H39" s="279">
        <v>3.4000000000000002E-2</v>
      </c>
      <c r="I39" s="277"/>
    </row>
    <row r="40" spans="1:9" x14ac:dyDescent="0.25">
      <c r="A40" s="153">
        <v>29</v>
      </c>
      <c r="B40" s="118" t="s">
        <v>84</v>
      </c>
      <c r="C40" s="104" t="s">
        <v>41</v>
      </c>
      <c r="D40" s="364">
        <v>0</v>
      </c>
      <c r="E40" s="276"/>
      <c r="F40" s="277"/>
      <c r="G40" s="276"/>
      <c r="H40" s="276">
        <v>0</v>
      </c>
      <c r="I40" s="277"/>
    </row>
    <row r="41" spans="1:9" ht="30.75" thickBot="1" x14ac:dyDescent="0.3">
      <c r="A41" s="154">
        <v>30</v>
      </c>
      <c r="B41" s="119" t="s">
        <v>85</v>
      </c>
      <c r="C41" s="107" t="s">
        <v>41</v>
      </c>
      <c r="D41" s="368">
        <v>0</v>
      </c>
      <c r="E41" s="280"/>
      <c r="F41" s="282"/>
      <c r="G41" s="280"/>
      <c r="H41" s="280">
        <v>0</v>
      </c>
      <c r="I41" s="282"/>
    </row>
    <row r="42" spans="1:9" ht="30" x14ac:dyDescent="0.25">
      <c r="A42" s="156">
        <v>31</v>
      </c>
      <c r="B42" s="117" t="s">
        <v>86</v>
      </c>
      <c r="C42" s="103" t="s">
        <v>94</v>
      </c>
      <c r="D42" s="276">
        <f>0.045+0.00021*(D24+40)/2</f>
        <v>5.5803713824447612E-2</v>
      </c>
      <c r="E42" s="276"/>
      <c r="F42" s="281"/>
      <c r="G42" s="367"/>
      <c r="H42" s="353">
        <v>3.5000000000000003E-2</v>
      </c>
      <c r="I42" s="281"/>
    </row>
    <row r="43" spans="1:9" ht="30" x14ac:dyDescent="0.25">
      <c r="A43" s="153">
        <v>32</v>
      </c>
      <c r="B43" s="118" t="s">
        <v>87</v>
      </c>
      <c r="C43" s="104" t="s">
        <v>94</v>
      </c>
      <c r="D43" s="276">
        <f>0.045+0.00021*(D25+40)/2</f>
        <v>5.4111066439551297E-2</v>
      </c>
      <c r="E43" s="276"/>
      <c r="F43" s="277"/>
      <c r="G43" s="364"/>
      <c r="H43" s="354">
        <v>3.5000000000000003E-2</v>
      </c>
      <c r="I43" s="277"/>
    </row>
    <row r="44" spans="1:9" ht="30" x14ac:dyDescent="0.25">
      <c r="A44" s="153">
        <v>33</v>
      </c>
      <c r="B44" s="118" t="s">
        <v>88</v>
      </c>
      <c r="C44" s="104" t="s">
        <v>94</v>
      </c>
      <c r="D44" s="276">
        <f>0.045+0.00021*(D26+40)/2</f>
        <v>5.4974999999999996E-2</v>
      </c>
      <c r="E44" s="276"/>
      <c r="F44" s="277"/>
      <c r="G44" s="364"/>
      <c r="H44" s="354">
        <v>3.5000000000000003E-2</v>
      </c>
      <c r="I44" s="277"/>
    </row>
    <row r="45" spans="1:9" ht="30.75" thickBot="1" x14ac:dyDescent="0.3">
      <c r="A45" s="154">
        <v>34</v>
      </c>
      <c r="B45" s="119" t="s">
        <v>89</v>
      </c>
      <c r="C45" s="107" t="s">
        <v>94</v>
      </c>
      <c r="D45" s="276">
        <f>0.045+0.00021*(D27+40)/2</f>
        <v>5.3400000000000003E-2</v>
      </c>
      <c r="E45" s="276"/>
      <c r="F45" s="277"/>
      <c r="G45" s="368"/>
      <c r="H45" s="354">
        <v>3.5000000000000003E-2</v>
      </c>
      <c r="I45" s="282"/>
    </row>
    <row r="46" spans="1:9" ht="30.75" hidden="1" customHeight="1" x14ac:dyDescent="0.25">
      <c r="A46" s="157"/>
      <c r="B46" s="120" t="s">
        <v>129</v>
      </c>
      <c r="C46" s="94" t="s">
        <v>107</v>
      </c>
      <c r="D46" s="125">
        <f>IF(D5=0,0,IF(D42=0,0,LN((D5+2*D38)/D5)/(2*3.1416*(D42))+1/3.14/(D5+2*D38)/D35))</f>
        <v>3.8572828040200045</v>
      </c>
      <c r="E46" s="125">
        <f>IF(E5=0,0,IF(E42=0,0,LN((E5+2*E38)/E5)/(2*3.1416*E42)))</f>
        <v>0</v>
      </c>
      <c r="F46" s="126">
        <f>IF(F5=0,0,IF(F42=0,0,LN((F5+2*F38)/F5)/(2*3.1416*(F42))+1/3.14/(F5+2*F38)/F34))</f>
        <v>0</v>
      </c>
      <c r="G46" s="125">
        <f>IF(G5=0,0,IF(G42=0,0,LN((G5+2*G38)/G5)/(2*3.1416*(G42))+1/3.14/(G5+2*G38)/G35))</f>
        <v>0</v>
      </c>
      <c r="H46" s="125">
        <f>IF(H5=0,0,IF(H42=0,0,LN((H5+2*H38)/H5)/(2*3.1416*H42)))</f>
        <v>4.1867898474936371</v>
      </c>
      <c r="I46" s="126">
        <f>IF(I5=0,0,IF(I42=0,0,LN((I5+2*I38)/I5)/(2*3.1416*(I42))+1/3.14/(I5+2*I38)/I34))</f>
        <v>0</v>
      </c>
    </row>
    <row r="47" spans="1:9" ht="30.75" hidden="1" customHeight="1" x14ac:dyDescent="0.25">
      <c r="A47" s="158"/>
      <c r="B47" s="118" t="s">
        <v>130</v>
      </c>
      <c r="C47" s="91" t="s">
        <v>107</v>
      </c>
      <c r="D47" s="92">
        <f>IF(D6=0,0,IF(D43=0,0,LN((D6+2*D39)/D6)/(2*3.1416*(D43))+1/3.14/(D6+2*D39)/D35))</f>
        <v>3.9690476751670474</v>
      </c>
      <c r="E47" s="92">
        <f>IF(E6=0,0,IF(E43=0,0,LN((E6+2*E39)/E6)/(2*3.1416*E43)))</f>
        <v>0</v>
      </c>
      <c r="F47" s="113">
        <f>IF(F6=0,0,IF(F43=0,0,LN((F6+2*F39)/F6)/(2*3.1416*(F43))+1/3.14/(F6+2*F39)/F34))</f>
        <v>0</v>
      </c>
      <c r="G47" s="92">
        <f>IF(G6=0,0,IF(G43=0,0,LN((G6+2*G39)/G6)/(2*3.1416*(G43))+1/3.14/(G6+2*G39)/G35))</f>
        <v>0</v>
      </c>
      <c r="H47" s="92">
        <f>IF(H6=0,0,IF(H43=0,0,LN((H6+2*H39)/H6)/(2*3.1416*H43)))</f>
        <v>4.1867898474936371</v>
      </c>
      <c r="I47" s="113">
        <f>IF(I6=0,0,IF(I43=0,0,LN((I6+2*I39)/I6)/(2*3.1416*(I43))+1/3.14/(I6+2*I39)/I34))</f>
        <v>0</v>
      </c>
    </row>
    <row r="48" spans="1:9" ht="30.75" hidden="1" customHeight="1" x14ac:dyDescent="0.25">
      <c r="A48" s="158"/>
      <c r="B48" s="118" t="s">
        <v>132</v>
      </c>
      <c r="C48" s="91" t="s">
        <v>107</v>
      </c>
      <c r="D48" s="92">
        <f>IF(D7=0,0,IF(D44=0,0,LN((D7+2*D40)/D7)/(2*3.1416*(D44))+1/3.14/(D7+2*D40)/D35))</f>
        <v>0</v>
      </c>
      <c r="E48" s="92">
        <f>IF(E7=0,0,IF(E44=0,0,LN((E7+2*E40)/E7)/(2*3.1416*E44)))</f>
        <v>0</v>
      </c>
      <c r="F48" s="113">
        <f>IF(F7=0,0,IF(F44=0,0,LN((F7+2*F40)/F7)/(2*3.1416*(F44))+1/3.14/(F7+2*F40)/F34))</f>
        <v>0</v>
      </c>
      <c r="G48" s="92">
        <f>IF(G7=0,0,IF(G44=0,0,LN((G7+2*G40)/G7)/(2*3.1416*(G44))+1/3.14/(G7+2*G40)/G35))</f>
        <v>0</v>
      </c>
      <c r="H48" s="92">
        <f>IF(H7=0,0,IF(H44=0,0,LN((H7+2*H40)/H7)/(2*3.1416*H44)))</f>
        <v>0</v>
      </c>
      <c r="I48" s="113">
        <f>IF(I7=0,0,IF(I44=0,0,LN((I7+2*I40)/I7)/(2*3.1416*(I44))+1/3.14/(I7+2*I40)/I34))</f>
        <v>0</v>
      </c>
    </row>
    <row r="49" spans="1:10" ht="30.75" hidden="1" customHeight="1" thickBot="1" x14ac:dyDescent="0.3">
      <c r="A49" s="158"/>
      <c r="B49" s="119" t="s">
        <v>131</v>
      </c>
      <c r="C49" s="105" t="s">
        <v>107</v>
      </c>
      <c r="D49" s="106">
        <f>IF(D8=0,0,IF(D45=0,0,LN((D8+2*D41)/D8)/(2*3.1416*(D45))+1/3.14/(D8+2*D41)/D35))</f>
        <v>0</v>
      </c>
      <c r="E49" s="106">
        <f>IF(E8=0,0,IF(E45=0,0,LN((E8+2*E41)/E8)/(2*3.1416*E45)))</f>
        <v>0</v>
      </c>
      <c r="F49" s="114">
        <f>IF(F8=0,0,IF(F45=0,0,LN((F8+2*F41)/F8)/(2*3.1416*(F45))+1/3.14/(F8+2*F41)/F34))</f>
        <v>0</v>
      </c>
      <c r="G49" s="106">
        <f>IF(G8=0,0,IF(G45=0,0,LN((G8+2*G41)/G8)/(2*3.1416*(G45))+1/3.14/(G8+2*G41)/G35))</f>
        <v>0</v>
      </c>
      <c r="H49" s="106">
        <f>IF(H8=0,0,IF(H45=0,0,LN((H8+2*H41)/H8)/(2*3.1416*H45)))</f>
        <v>0</v>
      </c>
      <c r="I49" s="114">
        <f>IF(I8=0,0,IF(I45=0,0,LN((I8+2*I41)/I8)/(2*3.1416*(I45))+1/3.14/(I8+2*I41)/I34))</f>
        <v>0</v>
      </c>
    </row>
    <row r="50" spans="1:10" ht="16.5" hidden="1" customHeight="1" x14ac:dyDescent="0.25">
      <c r="A50" s="158"/>
      <c r="B50" s="120" t="s">
        <v>118</v>
      </c>
      <c r="C50" s="94" t="s">
        <v>107</v>
      </c>
      <c r="D50" s="101">
        <f>D51+D52+D53+D54</f>
        <v>0.15302145919770183</v>
      </c>
      <c r="E50" s="94" t="s">
        <v>99</v>
      </c>
      <c r="F50" s="94" t="s">
        <v>99</v>
      </c>
      <c r="G50" s="101" t="e">
        <f>G51+G52+G53+G54</f>
        <v>#VALUE!</v>
      </c>
      <c r="H50" s="94" t="s">
        <v>99</v>
      </c>
      <c r="I50" s="94" t="s">
        <v>99</v>
      </c>
    </row>
    <row r="51" spans="1:10" ht="16.5" hidden="1" customHeight="1" x14ac:dyDescent="0.25">
      <c r="A51" s="158"/>
      <c r="B51" s="118" t="s">
        <v>119</v>
      </c>
      <c r="C51" s="91" t="s">
        <v>107</v>
      </c>
      <c r="D51" s="96">
        <f>IF(D17=0,0,1/3.1416/D35/D17)</f>
        <v>4.6420083184789081E-2</v>
      </c>
      <c r="E51" s="91" t="s">
        <v>99</v>
      </c>
      <c r="F51" s="91" t="s">
        <v>99</v>
      </c>
      <c r="G51" s="96">
        <f>IF(G17=0,0,1/3.1416/G35/G17)</f>
        <v>0</v>
      </c>
      <c r="H51" s="91" t="s">
        <v>99</v>
      </c>
      <c r="I51" s="91" t="s">
        <v>99</v>
      </c>
    </row>
    <row r="52" spans="1:10" ht="24.75" hidden="1" customHeight="1" x14ac:dyDescent="0.25">
      <c r="A52" s="158"/>
      <c r="B52" s="118" t="s">
        <v>120</v>
      </c>
      <c r="C52" s="91" t="s">
        <v>107</v>
      </c>
      <c r="D52" s="99">
        <f>IF(D37=0,"ввести терм. опір кан",IF(D37=0,0,IF(D17=0,"ввести розмір каналу",1/2/3.1416/D37*LN(D18/D17))))</f>
        <v>4.1752943342528159E-3</v>
      </c>
      <c r="E52" s="91" t="s">
        <v>99</v>
      </c>
      <c r="F52" s="91" t="s">
        <v>99</v>
      </c>
      <c r="G52" s="99" t="str">
        <f>IF(G37=0,"ввести терм. опір кан",IF(G37=0,0,IF(G17=0,"ввести розмір каналу",1/2/3.1416/G37*LN(G18/G17))))</f>
        <v>ввести терм. опір кан</v>
      </c>
      <c r="H52" s="91" t="s">
        <v>99</v>
      </c>
      <c r="I52" s="91" t="s">
        <v>99</v>
      </c>
    </row>
    <row r="53" spans="1:10" ht="42" hidden="1" customHeight="1" x14ac:dyDescent="0.25">
      <c r="A53" s="158"/>
      <c r="B53" s="118" t="s">
        <v>121</v>
      </c>
      <c r="C53" s="91" t="s">
        <v>107</v>
      </c>
      <c r="D53" s="99">
        <f>IF(D9-(D13+D12/2)&lt;0.7,0,IF(D36=0,"ввести теплопров грунта",IF(D18=0,"ввести роз каналу",IF(D9/D18&gt;2,1/2/3.1416/D36*LN(4*D9/D18),1/2/3.1416/D36*LN(2*D9*SQRT(4*D9*D9-D18*D18)/D18)))))</f>
        <v>0</v>
      </c>
      <c r="E53" s="91" t="s">
        <v>99</v>
      </c>
      <c r="F53" s="91" t="s">
        <v>99</v>
      </c>
      <c r="G53" s="99">
        <f>IF(G9-(G13+G12/2)&lt;0.7,0,IF(G36=0,"ввести теплопров грунта",IF(G18=0,"ввести роз каналу",IF(G9/G18&gt;2,1/2/3.1416/G36*LN(4*G9/G18),1/2/3.1416/G36*LN(2*G9*SQRT(4*G9*G9-G18*G18)/G18)))))</f>
        <v>0</v>
      </c>
      <c r="H53" s="91" t="s">
        <v>99</v>
      </c>
      <c r="I53" s="91" t="s">
        <v>99</v>
      </c>
    </row>
    <row r="54" spans="1:10" ht="48" hidden="1" customHeight="1" thickBot="1" x14ac:dyDescent="0.3">
      <c r="A54" s="158"/>
      <c r="B54" s="116" t="s">
        <v>122</v>
      </c>
      <c r="C54" s="93" t="s">
        <v>107</v>
      </c>
      <c r="D54" s="96">
        <f>IF(D9-(D13+D12/2)&gt;0.7,0,IF(D36=0,"ввести теплопров грунта",IF(D18=0,"ввести роз каналу",IF(D9/D18&gt;2,1/2/3.1416/D36*LN(4*D10/D18),1/2/3.1416/D36*LN(2*D10*SQRT(4*D10*D10-D18*D18)/D18)))))</f>
        <v>0.10242608167865994</v>
      </c>
      <c r="E54" s="93" t="s">
        <v>99</v>
      </c>
      <c r="F54" s="93" t="s">
        <v>99</v>
      </c>
      <c r="G54" s="96" t="str">
        <f>IF(G9-(G13+G12/2)&gt;0.7,0,IF(G36=0,"ввести теплопров грунта",IF(G18=0,"ввести роз каналу",IF(G9/G18&gt;2,1/2/3.1416/G36*LN(4*G10/G18),1/2/3.1416/G36*LN(2*G10*SQRT(4*G10*G10-G18*G18)/G18)))))</f>
        <v>ввести теплопров грунта</v>
      </c>
      <c r="H54" s="93" t="s">
        <v>99</v>
      </c>
      <c r="I54" s="93" t="s">
        <v>99</v>
      </c>
    </row>
    <row r="55" spans="1:10" ht="15" hidden="1" customHeight="1" x14ac:dyDescent="0.25">
      <c r="A55" s="158"/>
      <c r="B55" s="117" t="s">
        <v>133</v>
      </c>
      <c r="C55" s="102" t="s">
        <v>107</v>
      </c>
      <c r="D55" s="102" t="s">
        <v>99</v>
      </c>
      <c r="E55" s="108">
        <f>IF(E36=0,0,IF(E14=0,0,1/3.1416/2/E36*LN(SQRT(1+4*E9*E9/E14/E14))))</f>
        <v>0</v>
      </c>
      <c r="F55" s="103" t="s">
        <v>99</v>
      </c>
      <c r="G55" s="102" t="s">
        <v>99</v>
      </c>
      <c r="H55" s="108">
        <f>IF(H36=0,0,IF(H14=0,0,1/3.1416/2/H36*LN(SQRT(1+4*H9*H9/H14/H14))))</f>
        <v>0</v>
      </c>
      <c r="I55" s="103" t="s">
        <v>99</v>
      </c>
    </row>
    <row r="56" spans="1:10" ht="15" hidden="1" customHeight="1" x14ac:dyDescent="0.25">
      <c r="A56" s="158"/>
      <c r="B56" s="118" t="s">
        <v>134</v>
      </c>
      <c r="C56" s="91" t="s">
        <v>107</v>
      </c>
      <c r="D56" s="91" t="s">
        <v>99</v>
      </c>
      <c r="E56" s="109">
        <f>IF(E36=0,0,IF(E15=0,0,1/3.1416/2/E36*LN(SQRT(1+4*E9*E9/E15/E15))))</f>
        <v>0</v>
      </c>
      <c r="F56" s="104" t="s">
        <v>99</v>
      </c>
      <c r="G56" s="91" t="s">
        <v>99</v>
      </c>
      <c r="H56" s="109">
        <f>IF(H36=0,0,IF(H15=0,0,1/3.1416/2/H36*LN(SQRT(1+4*H9*H9/H15/H15))))</f>
        <v>0</v>
      </c>
      <c r="I56" s="104" t="s">
        <v>99</v>
      </c>
    </row>
    <row r="57" spans="1:10" ht="15" hidden="1" customHeight="1" thickBot="1" x14ac:dyDescent="0.3">
      <c r="A57" s="158"/>
      <c r="B57" s="116" t="s">
        <v>135</v>
      </c>
      <c r="C57" s="93" t="s">
        <v>107</v>
      </c>
      <c r="D57" s="93" t="s">
        <v>99</v>
      </c>
      <c r="E57" s="99">
        <f>IF(E36=0,0,IF(E16=0,0,1/3.1416/2/E36*LN(SQRT(1+4*E9*E9/E16/E16))))</f>
        <v>0</v>
      </c>
      <c r="F57" s="110" t="s">
        <v>99</v>
      </c>
      <c r="G57" s="93" t="s">
        <v>99</v>
      </c>
      <c r="H57" s="99">
        <f>IF(H36=0,0,IF(H16=0,0,1/3.1416/2/H36*LN(SQRT(1+4*H9*H9/H16/H16))))</f>
        <v>0</v>
      </c>
      <c r="I57" s="110" t="s">
        <v>99</v>
      </c>
    </row>
    <row r="58" spans="1:10" ht="31.5" hidden="1" customHeight="1" x14ac:dyDescent="0.25">
      <c r="A58" s="158"/>
      <c r="B58" s="117" t="s">
        <v>136</v>
      </c>
      <c r="C58" s="102" t="s">
        <v>107</v>
      </c>
      <c r="D58" s="102" t="s">
        <v>99</v>
      </c>
      <c r="E58" s="108">
        <f>IF(E36=0,0,IF(E5+2*E38=0,0,1/2/3.1416/E36*LN(4*E9/(E5+2*E38))))</f>
        <v>0</v>
      </c>
      <c r="F58" s="103" t="s">
        <v>99</v>
      </c>
      <c r="G58" s="102" t="s">
        <v>99</v>
      </c>
      <c r="H58" s="108">
        <f>IF(H36=0,0,IF(H5+2*H38=0,0,1/2/3.1416/H36*LN(4*H9/(H5+2*H38))))</f>
        <v>0.22706021271897681</v>
      </c>
      <c r="I58" s="103" t="s">
        <v>99</v>
      </c>
    </row>
    <row r="59" spans="1:10" ht="33" hidden="1" customHeight="1" x14ac:dyDescent="0.25">
      <c r="A59" s="158"/>
      <c r="B59" s="118" t="s">
        <v>137</v>
      </c>
      <c r="C59" s="91" t="s">
        <v>107</v>
      </c>
      <c r="D59" s="91" t="s">
        <v>99</v>
      </c>
      <c r="E59" s="109">
        <f>IF(E36=0,0,IF(E6+2*E39=0,0,1/2/3.1416/E36*LN(4*E9/(E6+2*E39))))</f>
        <v>0</v>
      </c>
      <c r="F59" s="104" t="s">
        <v>99</v>
      </c>
      <c r="G59" s="91" t="s">
        <v>99</v>
      </c>
      <c r="H59" s="109">
        <f>IF(H36=0,0,IF(H6+2*H39=0,0,1/2/3.1416/H36*LN(4*H9/(H6+2*H39))))</f>
        <v>0.22706021271897681</v>
      </c>
      <c r="I59" s="104" t="s">
        <v>99</v>
      </c>
    </row>
    <row r="60" spans="1:10" ht="25.5" hidden="1" customHeight="1" x14ac:dyDescent="0.25">
      <c r="A60" s="158"/>
      <c r="B60" s="118" t="s">
        <v>138</v>
      </c>
      <c r="C60" s="91" t="s">
        <v>107</v>
      </c>
      <c r="D60" s="91" t="s">
        <v>99</v>
      </c>
      <c r="E60" s="109">
        <f>IF(E36=0,0,IF(E7+2*E40=0,0,1/2/3.1416/E36*LN(4*E9/(E7+2*E40))))</f>
        <v>0</v>
      </c>
      <c r="F60" s="104" t="s">
        <v>99</v>
      </c>
      <c r="G60" s="91" t="s">
        <v>99</v>
      </c>
      <c r="H60" s="109">
        <f>IF(H36=0,0,IF(H7+2*H40=0,0,1/2/3.1416/H36*LN(4*H9/(H7+2*H40))))</f>
        <v>0</v>
      </c>
      <c r="I60" s="104" t="s">
        <v>99</v>
      </c>
      <c r="J60">
        <f>((H25-H32)*(H46+H58)-(H24-H32)*H55)/(H46+H58)*(H47+H59)</f>
        <v>184.37561541247655</v>
      </c>
    </row>
    <row r="61" spans="1:10" ht="15" hidden="1" customHeight="1" thickBot="1" x14ac:dyDescent="0.3">
      <c r="A61" s="159"/>
      <c r="B61" s="116" t="s">
        <v>139</v>
      </c>
      <c r="C61" s="93" t="s">
        <v>107</v>
      </c>
      <c r="D61" s="93" t="s">
        <v>99</v>
      </c>
      <c r="E61" s="99">
        <f>IF(E36=0,0,IF(E8+2*E41=0,0,1/2/3.1416/E36*LN(4*E9/(E8+2*E41))))</f>
        <v>0</v>
      </c>
      <c r="F61" s="110" t="s">
        <v>99</v>
      </c>
      <c r="G61" s="93" t="s">
        <v>99</v>
      </c>
      <c r="H61" s="99">
        <f>IF(H36=0,0,IF(H8+2*H41=0,0,1/2/3.1416/H36*LN(4*H9/(H8+2*H41))))</f>
        <v>0</v>
      </c>
      <c r="I61" s="110" t="s">
        <v>99</v>
      </c>
    </row>
    <row r="62" spans="1:10" s="128" customFormat="1" ht="30" x14ac:dyDescent="0.25">
      <c r="A62" s="160">
        <v>35</v>
      </c>
      <c r="B62" s="127" t="s">
        <v>90</v>
      </c>
      <c r="C62" s="263" t="s">
        <v>124</v>
      </c>
      <c r="D62" s="267">
        <f>IF($D$5+$D$6+$D$7+$D$8=0,0,(($D$24-$D$30)*$D$19+($D$25-$D$30)*$D$20+($D$26-$D$30)*$D$21+($D$27-$D$30)*$D$22)/1.163)</f>
        <v>24.08459049356054</v>
      </c>
      <c r="E62" s="265">
        <f>IF(E5=0,0,IF(E6=0,(E24-E32)/(E46+E58),((E24-E32)*(E47+E59)-(E25-E32)*E55)/((E46+E58)*(E47+E59)-E55*E55)))/1.163</f>
        <v>0</v>
      </c>
      <c r="F62" s="130">
        <f>IF(F46=0,0,(F24-F28)/F46/1.163)</f>
        <v>0</v>
      </c>
      <c r="G62" s="345">
        <f>IF(G5+G6+G7+G8=0,0,((G24-G30)*G19+(G25-G30)*G20+(G26-G30)*G21+(G27-G30)*G22)/1.163)</f>
        <v>0</v>
      </c>
      <c r="H62" s="342">
        <f>IF(H5=0,0,IF(H6=0,(H24-H32)/(H46+H58),((H24-H32)*(H47+H59)-(H25-H32)*H55)/((H46+H58)*(H47+H59)-H55*H55)))/1.163</f>
        <v>11.277818689050088</v>
      </c>
      <c r="I62" s="130">
        <f>IF(I46=0,0,(I24-I28)/I46/1.163)</f>
        <v>0</v>
      </c>
    </row>
    <row r="63" spans="1:10" s="128" customFormat="1" ht="30" x14ac:dyDescent="0.25">
      <c r="A63" s="161">
        <v>36</v>
      </c>
      <c r="B63" s="129" t="s">
        <v>91</v>
      </c>
      <c r="C63" s="350" t="s">
        <v>125</v>
      </c>
      <c r="D63" s="347"/>
      <c r="E63" s="352">
        <f>IF(E6=0,0,IF(E7+E5=0,(E25-E32)/(E47+E59),IF(E7=0,((E25-E32)*(E46+E58)-(E24-E32)*E55)/((E46+E58)*(E47+E59)-E55*E55),IF(E5=0,((E25-E32)*(E48+E60)-(E26-E32)*E56)/((E48+E60)*(E47+E59)-E56*E56),((E25-E32)*(E46+E58)*(E48+E60)-(E24-E32)*E55-(E26-E32)*E56)/((E46+E58)*(E47+E59)*(E48+E60)-(E55+E56)*(E55+E56))))))/1.163</f>
        <v>0</v>
      </c>
      <c r="F63" s="131">
        <f>IF(F47=0,0,(F25-F28)/F47/1.163)</f>
        <v>0</v>
      </c>
      <c r="G63" s="346"/>
      <c r="H63" s="343">
        <f>IF(H6=0,0,IF(H7+H5=0,(H25-H32)/(H47+H59),IF(H7=0,((H25-H32)*(H46+H58)-(H24-H32)*H55)/((H46+H58)*(H47+H59)-H55*H55),IF(H5=0,((H25-H32)*(H48+H60)-(H26-H32)*H56)/((H48+H60)*(H47+H59)-H56*H56),((H25-H32)*(H46+H58)*(H48+H60)-(H24-H32)*H55-(H26-H32)*H56)/((H46+H58)*(H47+H59)*(H48+H60)-(H55+H56)*(H55+H56))))))/1.163</f>
        <v>8.1374553058322476</v>
      </c>
      <c r="I63" s="131">
        <f>IF(I47=0,0,(I25-I28)/I47/1.163)</f>
        <v>0</v>
      </c>
    </row>
    <row r="64" spans="1:10" s="128" customFormat="1" x14ac:dyDescent="0.25">
      <c r="A64" s="161">
        <v>37</v>
      </c>
      <c r="B64" s="228" t="s">
        <v>427</v>
      </c>
      <c r="C64" s="350" t="s">
        <v>124</v>
      </c>
      <c r="D64" s="347"/>
      <c r="E64" s="352">
        <f>IF(E7=0,0,IF(E8+E6=0,(E26-E32)/(E48+E60),IF(E8=0,((E26-E32)*(E47+E59)-(E25-E32)*E56)/((E47+E59)*(E48+E60)-E56*E56),IF(E6=0,((E26-E32)*(E49+E61)-(E27-E32)*E57)/((E49+E61)*(E48+E60)-E57*E57),((E26-E32)*(E47+E59)*(E49+E61)-(E25-E32)*E56-(E27-E32)*E57)/((E47+E59)*(E48+E60)*(E49+E61)-(E56+E57)*(E56+E57))))))/1.163</f>
        <v>0</v>
      </c>
      <c r="F64" s="131">
        <f>IF($F$48=0,0,($F$26-$F$28)/$F$48/1.163)</f>
        <v>0</v>
      </c>
      <c r="G64" s="346"/>
      <c r="H64" s="343">
        <f>IF(H7=0,0,IF(H8+H6=0,(H26-H32)/(H48+H60),IF(H8=0,((H26-H32)*(H47+H59)-(H25-H32)*H56)/((H47+H59)*(H48+H60)-H56*H56),IF(H6=0,((H26-H32)*(H49+H61)-(H27-H32)*H57)/((H49+H61)*(H48+H60)-H57*H57),((H26-H32)*(H47+H59)*(H49+H61)-(H25-H32)*H56-(H27-H32)*H57)/((H47+H59)*(H48+H60)*(H49+H61)-(H56+H57)*(H56+H57))))))/1.163</f>
        <v>0</v>
      </c>
      <c r="I64" s="131">
        <f>IF(I48=0,0,(I26-I28)/I48/1.163)</f>
        <v>0</v>
      </c>
    </row>
    <row r="65" spans="1:9" s="128" customFormat="1" ht="30.75" thickBot="1" x14ac:dyDescent="0.3">
      <c r="A65" s="233">
        <v>38</v>
      </c>
      <c r="B65" s="234" t="s">
        <v>428</v>
      </c>
      <c r="C65" s="351" t="s">
        <v>125</v>
      </c>
      <c r="D65" s="268"/>
      <c r="E65" s="266">
        <f>IF(E8=0,0,IF(E7=0,(E27-E32)/(E49+E61),((E27-E32)*(E48+E60)-(E26-E32)*E57)/((E48+E60)*(E49+E61)-E57*E57)))/1.163</f>
        <v>0</v>
      </c>
      <c r="F65" s="132">
        <f>IF($F$49=0,0,($F$27-$F$28)/$F$49/1.163)</f>
        <v>0</v>
      </c>
      <c r="G65" s="346"/>
      <c r="H65" s="344">
        <f>IF(H8=0,0,IF(H7=0,(H27-H32)/(H49+H61),((H27-H32)*(H48+H60)-(H26-H32)*H57)/((H48+H60)*(H49+H61)-H57*H57)))/1.163</f>
        <v>0</v>
      </c>
      <c r="I65" s="132">
        <f>IF(I49=0,0,(I27-I28)/I49/1.163)</f>
        <v>0</v>
      </c>
    </row>
    <row r="66" spans="1:9" x14ac:dyDescent="0.25">
      <c r="A66" s="237">
        <v>39</v>
      </c>
      <c r="B66" s="235" t="s">
        <v>448</v>
      </c>
      <c r="C66" s="263" t="s">
        <v>124</v>
      </c>
      <c r="D66" s="347">
        <f>IF(D7+D8=0,0,((D26-D31)*D21+(D27-D31)*D22)/1.163)</f>
        <v>0</v>
      </c>
      <c r="E66" s="348">
        <f>IF(E7=0,0,IF(E8=0,(E26-E33)/(E48+E60),((E26-E33)*(E49+E61)-(E27-E33)*E57)/((E49+E61)*(E48+E60)-E57*E57)))/1.163</f>
        <v>0</v>
      </c>
      <c r="F66" s="349">
        <f>IF(F48=0,0,(F26-F29)/F48/1.163)</f>
        <v>0</v>
      </c>
      <c r="G66" s="340">
        <f>IF(G7+G8=0,0,((G26-G31)*G21+(G27-G31)*G22)/1.163)</f>
        <v>0</v>
      </c>
      <c r="H66" s="342">
        <f>IF(H7=0,0,IF(H8=0,(H26-H33)/(H48+H60),((H26-H33)*(H49+H61)-(H27-H33)*H57)/((H49+H61)*(H48+H60)-H57*H57)))/1.163</f>
        <v>0</v>
      </c>
      <c r="I66" s="130">
        <f>IF(I48=0,0,(I26-I29)/I48/1.163)</f>
        <v>0</v>
      </c>
    </row>
    <row r="67" spans="1:9" ht="30.75" thickBot="1" x14ac:dyDescent="0.3">
      <c r="A67" s="238">
        <v>40</v>
      </c>
      <c r="B67" s="236" t="s">
        <v>449</v>
      </c>
      <c r="C67" s="264" t="s">
        <v>125</v>
      </c>
      <c r="D67" s="268"/>
      <c r="E67" s="344">
        <f>IF(E8=0,0,IF(E7=0,(E27-E33)/(E49+E61),((E27-E33)*(E48+E60)-(E26-E33)*E57)/((E48+E60)*(E49+E61)-E57*E57)))/1.163</f>
        <v>0</v>
      </c>
      <c r="F67" s="269">
        <f>IF(F49=0,0,(F27-F29)/F49/1.163)</f>
        <v>0</v>
      </c>
      <c r="G67" s="341"/>
      <c r="H67" s="344">
        <f>IF(H8=0,0,IF(H7=0,(H27-H33)/(H49+H61),((H27-H33)*(H48+H60)-(H26-H33)*H57)/((H48+H60)*(H49+H61)-H57*H57)))/1.163</f>
        <v>0</v>
      </c>
      <c r="I67" s="132">
        <f>IF(I49=0,0,(I27-I29)/I49/1.163)</f>
        <v>0</v>
      </c>
    </row>
  </sheetData>
  <sheetProtection password="CC5D" sheet="1"/>
  <mergeCells count="5">
    <mergeCell ref="A2:A3"/>
    <mergeCell ref="B2:C2"/>
    <mergeCell ref="D2:F2"/>
    <mergeCell ref="G2:I2"/>
    <mergeCell ref="B1:I1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13" workbookViewId="0">
      <selection activeCell="B22" sqref="B22"/>
    </sheetView>
  </sheetViews>
  <sheetFormatPr defaultRowHeight="15" x14ac:dyDescent="0.25"/>
  <cols>
    <col min="1" max="1" width="9.140625" style="151"/>
    <col min="2" max="2" width="78.28515625" style="151" customWidth="1"/>
    <col min="3" max="3" width="21" style="151" customWidth="1"/>
    <col min="4" max="4" width="19.85546875" style="151" customWidth="1"/>
    <col min="5" max="5" width="20.85546875" style="151" customWidth="1"/>
    <col min="6" max="6" width="11.5703125" style="151" bestFit="1" customWidth="1"/>
    <col min="7" max="16384" width="9.140625" style="151"/>
  </cols>
  <sheetData>
    <row r="1" spans="1:6" x14ac:dyDescent="0.25">
      <c r="A1" s="478" t="s">
        <v>430</v>
      </c>
      <c r="B1" s="478"/>
      <c r="C1" s="478"/>
      <c r="D1" s="478"/>
      <c r="E1" s="478"/>
    </row>
    <row r="2" spans="1:6" ht="15.75" thickBot="1" x14ac:dyDescent="0.3">
      <c r="B2" s="151" t="s">
        <v>470</v>
      </c>
      <c r="E2" s="151" t="s">
        <v>441</v>
      </c>
    </row>
    <row r="3" spans="1:6" ht="45" x14ac:dyDescent="0.25">
      <c r="A3" s="209" t="s">
        <v>429</v>
      </c>
      <c r="B3" s="210" t="s">
        <v>95</v>
      </c>
      <c r="C3" s="210" t="s">
        <v>158</v>
      </c>
      <c r="D3" s="210" t="s">
        <v>159</v>
      </c>
      <c r="E3" s="356" t="s">
        <v>160</v>
      </c>
    </row>
    <row r="4" spans="1:6" ht="15.75" thickBot="1" x14ac:dyDescent="0.3">
      <c r="A4" s="357">
        <v>1</v>
      </c>
      <c r="B4" s="257">
        <v>2</v>
      </c>
      <c r="C4" s="257">
        <v>3</v>
      </c>
      <c r="D4" s="257">
        <v>4</v>
      </c>
      <c r="E4" s="358">
        <v>5</v>
      </c>
    </row>
    <row r="5" spans="1:6" x14ac:dyDescent="0.25">
      <c r="A5" s="209">
        <v>1</v>
      </c>
      <c r="B5" s="210" t="s">
        <v>446</v>
      </c>
      <c r="C5" s="258">
        <f>'норм втрати'!$J$39*24</f>
        <v>4488</v>
      </c>
      <c r="D5" s="211">
        <f t="shared" ref="D5:D10" si="0">C5</f>
        <v>4488</v>
      </c>
      <c r="E5" s="212">
        <f t="shared" ref="E5:E10" si="1">C5</f>
        <v>4488</v>
      </c>
    </row>
    <row r="6" spans="1:6" x14ac:dyDescent="0.25">
      <c r="A6" s="255">
        <v>2</v>
      </c>
      <c r="B6" s="162" t="s">
        <v>474</v>
      </c>
      <c r="C6" s="239">
        <f>'норм втрати'!$I$39*24</f>
        <v>8424</v>
      </c>
      <c r="D6" s="206">
        <f t="shared" si="0"/>
        <v>8424</v>
      </c>
      <c r="E6" s="256">
        <f t="shared" si="1"/>
        <v>8424</v>
      </c>
    </row>
    <row r="7" spans="1:6" x14ac:dyDescent="0.25">
      <c r="A7" s="255">
        <v>3</v>
      </c>
      <c r="B7" s="162" t="s">
        <v>407</v>
      </c>
      <c r="C7" s="239">
        <f>('норм втрати'!C160+'норм втрати'!D160)*2+('норм втрати'!C184+'норм втрати'!D184)*2+'норм втрати'!C208+'норм втрати'!D208+'норм втрати'!C232+'норм втрати'!D232+'норм втрати'!C256+'норм втрати'!D256+'норм втрати'!E256+'норм втрати'!F256+'норм втрати'!C280+'норм втрати'!D280+'норм втрати'!E280+'норм втрати'!C304+'норм втрати'!D304+'норм втрати'!E304+'норм втрати'!F304</f>
        <v>9</v>
      </c>
      <c r="D7" s="206">
        <f t="shared" si="0"/>
        <v>9</v>
      </c>
      <c r="E7" s="256">
        <f t="shared" si="1"/>
        <v>9</v>
      </c>
    </row>
    <row r="8" spans="1:6" x14ac:dyDescent="0.25">
      <c r="A8" s="255">
        <v>4</v>
      </c>
      <c r="B8" s="162" t="s">
        <v>451</v>
      </c>
      <c r="C8" s="270">
        <v>4776.1000000000004</v>
      </c>
      <c r="D8" s="206">
        <f t="shared" si="0"/>
        <v>4776.1000000000004</v>
      </c>
      <c r="E8" s="256">
        <f t="shared" si="1"/>
        <v>4776.1000000000004</v>
      </c>
    </row>
    <row r="9" spans="1:6" x14ac:dyDescent="0.25">
      <c r="A9" s="255">
        <v>5</v>
      </c>
      <c r="B9" s="162" t="s">
        <v>452</v>
      </c>
      <c r="C9" s="270">
        <f>C8*1.1</f>
        <v>5253.7100000000009</v>
      </c>
      <c r="D9" s="206">
        <f t="shared" si="0"/>
        <v>5253.7100000000009</v>
      </c>
      <c r="E9" s="256">
        <f t="shared" si="1"/>
        <v>5253.7100000000009</v>
      </c>
    </row>
    <row r="10" spans="1:6" ht="30.75" customHeight="1" x14ac:dyDescent="0.25">
      <c r="A10" s="255">
        <v>6</v>
      </c>
      <c r="B10" s="162" t="s">
        <v>450</v>
      </c>
      <c r="C10" s="270">
        <v>166.25</v>
      </c>
      <c r="D10" s="206">
        <f t="shared" si="0"/>
        <v>166.25</v>
      </c>
      <c r="E10" s="256">
        <f t="shared" si="1"/>
        <v>166.25</v>
      </c>
    </row>
    <row r="11" spans="1:6" ht="27" customHeight="1" thickBot="1" x14ac:dyDescent="0.3">
      <c r="A11" s="213">
        <v>7</v>
      </c>
      <c r="B11" s="214" t="s">
        <v>165</v>
      </c>
      <c r="C11" s="215">
        <f>D11*(('розрах втрат тр. ОП+ГВП'!D62+'розрах втрат тр. ОП+ГВП'!E62+'розрах втрат тр. ОП+ГВП'!E63+'розрах втрат тр. ОП+ГВП'!E64+'розрах втрат тр. ОП+ГВП'!E65+'розрах втрат тр. ОП+ГВП'!F62+'розрах втрат тр. ОП+ГВП'!F63+'розрах втрат тр. ОП+ГВП'!F64+'розрах втрат тр. ОП+ГВП'!F65)*'норм втрати'!J39/'норм втрати'!I39+'розрах втрат тр. ОП+ГВП'!D66+('розрах втрат тр. ОП+ГВП'!E66+'розрах втрат тр. ОП+ГВП'!E67+'розрах втрат тр. ОП+ГВП'!F66+'розрах втрат тр. ОП+ГВП'!F67)*('норм втрати'!I39-'норм втрати'!J39)/'норм втрати'!I39)/(('норм втрати'!G160+'норм втрати'!H160+'норм втрати'!G184+'норм втрати'!H184+'норм втрати'!G208+'норм втрати'!H208+'норм втрати'!G232+'норм втрати'!H232+'норм втрати'!G256+'норм втрати'!H256+'норм втрати'!I256+'норм втрати'!J256+'норм втрати'!G280+'норм втрати'!H280+'норм втрати'!I280+'норм втрати'!J280+'норм втрати'!G304+'норм втрати'!H304+'норм втрати'!I304+'норм втрати'!J304)*'норм втрати'!J39/'норм втрати'!I39+('норм втрати'!G256+'норм втрати'!H256+'норм втрати'!I256+'норм втрати'!J256+'норм втрати'!G280+'норм втрати'!H280+'норм втрати'!I280+'норм втрати'!J280+'норм втрати'!G304+'норм втрати'!H304+'норм втрати'!I304+'норм втрати'!J304)*('норм втрати'!I39-'норм втрати'!J39)/'норм втрати'!I39)</f>
        <v>0.58369486752953836</v>
      </c>
      <c r="D11" s="355">
        <f>'норм втрати'!K160+'норм втрати'!L160+'норм втрати'!K184+'норм втрати'!L184+'норм втрати'!K208+'норм втрати'!L208+'норм втрати'!K232+'норм втрати'!L232+'норм втрати'!K256+'норм втрати'!L256+'норм втрати'!M256+'норм втрати'!N256+'норм втрати'!K280+'норм втрати'!L280+'норм втрати'!M280+'норм втрати'!N280+'норм втрати'!K304+'норм втрати'!L304+'норм втрати'!M304+'норм втрати'!N304</f>
        <v>0.8089134995700773</v>
      </c>
      <c r="E11" s="216">
        <f>D11*(('розрах втрат тр. ОП+ГВП'!G62+'розрах втрат тр. ОП+ГВП'!H62+'розрах втрат тр. ОП+ГВП'!H63+'розрах втрат тр. ОП+ГВП'!H64+'розрах втрат тр. ОП+ГВП'!H65+'розрах втрат тр. ОП+ГВП'!I62+'розрах втрат тр. ОП+ГВП'!I63+'розрах втрат тр. ОП+ГВП'!I64+'розрах втрат тр. ОП+ГВП'!I65)*'норм втрати'!J39/'норм втрати'!I39+('розрах втрат тр. ОП+ГВП'!G66+'розрах втрат тр. ОП+ГВП'!H66+'розрах втрат тр. ОП+ГВП'!H67+'розрах втрат тр. ОП+ГВП'!I66+'розрах втрат тр. ОП+ГВП'!I67)*('норм втрати'!I39-'норм втрати'!J39)/'норм втрати'!I39)/(('норм втрати'!G160+'норм втрати'!H160+'норм втрати'!G184+'норм втрати'!H184+'норм втрати'!G208+'норм втрати'!H208+'норм втрати'!G232+'норм втрати'!H232+'норм втрати'!G256+'норм втрати'!H256+'норм втрати'!I256+'норм втрати'!J256+'норм втрати'!G280+'норм втрати'!H280+'норм втрати'!I280+'норм втрати'!J280+'норм втрати'!G304+'норм втрати'!H304+'норм втрати'!I304+'норм втрати'!J304)*'норм втрати'!J39/'норм втрати'!I39+('норм втрати'!G256+'норм втрати'!H256+'норм втрати'!I256+'норм втрати'!J256+'норм втрати'!G280+'норм втрати'!H280+'норм втрати'!I280+'норм втрати'!J280+'норм втрати'!G304+'норм втрати'!H304+'норм втрати'!I304+'норм втрати'!J304)*('норм втрати'!I39-'норм втрати'!J39)/'норм втрати'!I39)</f>
        <v>0.47053304832077231</v>
      </c>
      <c r="F11" s="240"/>
    </row>
    <row r="12" spans="1:6" ht="31.5" customHeight="1" x14ac:dyDescent="0.25">
      <c r="A12" s="209">
        <v>8</v>
      </c>
      <c r="B12" s="210" t="s">
        <v>161</v>
      </c>
      <c r="C12" s="211" t="s">
        <v>99</v>
      </c>
      <c r="D12" s="211" t="s">
        <v>99</v>
      </c>
      <c r="E12" s="212">
        <f>(C11-E11)*E10</f>
        <v>18.813152443457358</v>
      </c>
    </row>
    <row r="13" spans="1:6" ht="29.25" customHeight="1" thickBot="1" x14ac:dyDescent="0.3">
      <c r="A13" s="213">
        <v>9</v>
      </c>
      <c r="B13" s="214" t="s">
        <v>162</v>
      </c>
      <c r="C13" s="215" t="s">
        <v>99</v>
      </c>
      <c r="D13" s="215" t="s">
        <v>99</v>
      </c>
      <c r="E13" s="216">
        <f>E12*C9/1000</f>
        <v>98.838847123716377</v>
      </c>
    </row>
    <row r="14" spans="1:6" ht="28.5" customHeight="1" x14ac:dyDescent="0.25">
      <c r="A14" s="209">
        <v>10</v>
      </c>
      <c r="B14" s="210" t="s">
        <v>163</v>
      </c>
      <c r="C14" s="211" t="s">
        <v>99</v>
      </c>
      <c r="D14" s="211" t="s">
        <v>99</v>
      </c>
      <c r="E14" s="212">
        <f>(D11-E11)*E10</f>
        <v>56.255750020196956</v>
      </c>
    </row>
    <row r="15" spans="1:6" ht="33.75" customHeight="1" thickBot="1" x14ac:dyDescent="0.3">
      <c r="A15" s="213">
        <v>11</v>
      </c>
      <c r="B15" s="214" t="s">
        <v>443</v>
      </c>
      <c r="C15" s="215" t="s">
        <v>99</v>
      </c>
      <c r="D15" s="215" t="s">
        <v>99</v>
      </c>
      <c r="E15" s="216">
        <f>E14*E9/1000</f>
        <v>295.551396438609</v>
      </c>
    </row>
    <row r="16" spans="1:6" ht="32.25" customHeight="1" x14ac:dyDescent="0.25">
      <c r="A16" s="359">
        <v>12</v>
      </c>
      <c r="B16" s="208" t="s">
        <v>459</v>
      </c>
      <c r="C16" s="271">
        <f>71/(223.79748*2)</f>
        <v>0.15862555735658865</v>
      </c>
      <c r="D16" s="217">
        <f>C16</f>
        <v>0.15862555735658865</v>
      </c>
      <c r="E16" s="360">
        <v>0</v>
      </c>
    </row>
    <row r="17" spans="1:6" ht="18" customHeight="1" x14ac:dyDescent="0.25">
      <c r="A17" s="255">
        <v>13</v>
      </c>
      <c r="B17" s="162" t="s">
        <v>460</v>
      </c>
      <c r="C17" s="270">
        <v>1229.0999999999999</v>
      </c>
      <c r="D17" s="206">
        <f>C17</f>
        <v>1229.0999999999999</v>
      </c>
      <c r="E17" s="256">
        <v>0</v>
      </c>
    </row>
    <row r="18" spans="1:6" ht="18" customHeight="1" x14ac:dyDescent="0.25">
      <c r="A18" s="255">
        <v>14</v>
      </c>
      <c r="B18" s="162" t="s">
        <v>164</v>
      </c>
      <c r="C18" s="206">
        <f>C17*C16*C7/1000</f>
        <v>1.7547000529228478</v>
      </c>
      <c r="D18" s="206">
        <f>C18</f>
        <v>1.7547000529228478</v>
      </c>
      <c r="E18" s="256">
        <v>0</v>
      </c>
    </row>
    <row r="19" spans="1:6" ht="18" customHeight="1" x14ac:dyDescent="0.25">
      <c r="A19" s="255">
        <v>15</v>
      </c>
      <c r="B19" s="162" t="s">
        <v>442</v>
      </c>
      <c r="C19" s="206" t="s">
        <v>99</v>
      </c>
      <c r="D19" s="206" t="s">
        <v>99</v>
      </c>
      <c r="E19" s="273">
        <v>0</v>
      </c>
    </row>
    <row r="20" spans="1:6" x14ac:dyDescent="0.25">
      <c r="A20" s="255">
        <v>16</v>
      </c>
      <c r="B20" s="162" t="s">
        <v>458</v>
      </c>
      <c r="C20" s="270">
        <v>0</v>
      </c>
      <c r="D20" s="206">
        <f>C20</f>
        <v>0</v>
      </c>
      <c r="E20" s="361">
        <f>E24</f>
        <v>11442</v>
      </c>
    </row>
    <row r="21" spans="1:6" ht="18.75" customHeight="1" thickBot="1" x14ac:dyDescent="0.3">
      <c r="A21" s="362">
        <v>17</v>
      </c>
      <c r="B21" s="207" t="s">
        <v>453</v>
      </c>
      <c r="C21" s="272">
        <v>0</v>
      </c>
      <c r="D21" s="272"/>
      <c r="E21" s="363">
        <f>E24/10</f>
        <v>1144.2</v>
      </c>
    </row>
    <row r="22" spans="1:6" ht="27.75" customHeight="1" x14ac:dyDescent="0.25">
      <c r="A22" s="209">
        <v>18</v>
      </c>
      <c r="B22" s="210" t="s">
        <v>454</v>
      </c>
      <c r="C22" s="211" t="s">
        <v>99</v>
      </c>
      <c r="D22" s="211" t="s">
        <v>99</v>
      </c>
      <c r="E22" s="212">
        <f>E13+C18-C21+E21</f>
        <v>1244.7935471766393</v>
      </c>
    </row>
    <row r="23" spans="1:6" ht="33" customHeight="1" x14ac:dyDescent="0.25">
      <c r="A23" s="255">
        <v>19</v>
      </c>
      <c r="B23" s="162" t="s">
        <v>455</v>
      </c>
      <c r="C23" s="206" t="s">
        <v>99</v>
      </c>
      <c r="D23" s="206" t="s">
        <v>99</v>
      </c>
      <c r="E23" s="256">
        <f>E15+D18+E19-D21+E21</f>
        <v>1441.5060964915319</v>
      </c>
    </row>
    <row r="24" spans="1:6" x14ac:dyDescent="0.25">
      <c r="A24" s="255">
        <v>20</v>
      </c>
      <c r="B24" s="162" t="s">
        <v>456</v>
      </c>
      <c r="C24" s="206" t="s">
        <v>99</v>
      </c>
      <c r="D24" s="206" t="s">
        <v>99</v>
      </c>
      <c r="E24" s="273">
        <v>11442</v>
      </c>
    </row>
    <row r="25" spans="1:6" ht="15.75" thickBot="1" x14ac:dyDescent="0.3">
      <c r="A25" s="213">
        <v>21</v>
      </c>
      <c r="B25" s="214" t="s">
        <v>457</v>
      </c>
      <c r="C25" s="215" t="s">
        <v>99</v>
      </c>
      <c r="D25" s="215" t="s">
        <v>99</v>
      </c>
      <c r="E25" s="381">
        <f>IF(E23=0,0,1+(E24-E23)/(E23-E19))</f>
        <v>7.9375314664631498</v>
      </c>
      <c r="F25" s="382">
        <f>E25*12</f>
        <v>95.250377597557801</v>
      </c>
    </row>
  </sheetData>
  <mergeCells count="1">
    <mergeCell ref="A1:E1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18"/>
  <sheetViews>
    <sheetView topLeftCell="A43" workbookViewId="0">
      <selection activeCell="G241" sqref="G241"/>
    </sheetView>
  </sheetViews>
  <sheetFormatPr defaultRowHeight="15" x14ac:dyDescent="0.25"/>
  <cols>
    <col min="3" max="3" width="33.28515625" customWidth="1"/>
  </cols>
  <sheetData>
    <row r="1" spans="2:13" ht="44.25" customHeight="1" x14ac:dyDescent="0.25">
      <c r="B1" s="181"/>
      <c r="C1" s="528" t="s">
        <v>198</v>
      </c>
      <c r="D1" s="529"/>
      <c r="E1" s="529"/>
      <c r="F1" s="529"/>
      <c r="G1" s="529"/>
      <c r="H1" s="529"/>
      <c r="I1" s="529"/>
      <c r="J1" s="529"/>
      <c r="K1" s="529"/>
      <c r="L1" s="529"/>
      <c r="M1" s="530"/>
    </row>
    <row r="2" spans="2:13" ht="17.25" customHeight="1" thickBot="1" x14ac:dyDescent="0.3">
      <c r="B2" s="169"/>
      <c r="C2" s="526" t="s">
        <v>197</v>
      </c>
      <c r="D2" s="526"/>
      <c r="E2" s="526"/>
      <c r="F2" s="526"/>
      <c r="G2" s="526"/>
      <c r="H2" s="526"/>
      <c r="I2" s="526"/>
      <c r="J2" s="526"/>
      <c r="K2" s="526"/>
      <c r="L2" s="526"/>
      <c r="M2" s="527"/>
    </row>
    <row r="3" spans="2:13" ht="45" customHeight="1" thickBot="1" x14ac:dyDescent="0.3">
      <c r="B3" s="509"/>
      <c r="C3" s="522" t="s">
        <v>173</v>
      </c>
      <c r="D3" s="516" t="s">
        <v>174</v>
      </c>
      <c r="E3" s="517"/>
      <c r="F3" s="518"/>
      <c r="G3" s="519" t="s">
        <v>175</v>
      </c>
      <c r="H3" s="520"/>
      <c r="I3" s="516" t="s">
        <v>177</v>
      </c>
      <c r="J3" s="517"/>
      <c r="K3" s="517"/>
      <c r="L3" s="517"/>
      <c r="M3" s="518"/>
    </row>
    <row r="4" spans="2:13" ht="25.5" x14ac:dyDescent="0.25">
      <c r="B4" s="510"/>
      <c r="C4" s="523"/>
      <c r="D4" s="172" t="s">
        <v>178</v>
      </c>
      <c r="E4" s="172" t="s">
        <v>181</v>
      </c>
      <c r="F4" s="172" t="s">
        <v>185</v>
      </c>
      <c r="G4" s="535" t="s">
        <v>176</v>
      </c>
      <c r="H4" s="536"/>
      <c r="I4" s="519" t="s">
        <v>187</v>
      </c>
      <c r="J4" s="520"/>
      <c r="K4" s="519" t="s">
        <v>189</v>
      </c>
      <c r="L4" s="520"/>
      <c r="M4" s="172" t="s">
        <v>191</v>
      </c>
    </row>
    <row r="5" spans="2:13" x14ac:dyDescent="0.25">
      <c r="B5" s="510"/>
      <c r="C5" s="523"/>
      <c r="D5" s="172" t="s">
        <v>179</v>
      </c>
      <c r="E5" s="172" t="s">
        <v>182</v>
      </c>
      <c r="F5" s="172" t="s">
        <v>179</v>
      </c>
      <c r="G5" s="504"/>
      <c r="H5" s="505"/>
      <c r="I5" s="514" t="s">
        <v>188</v>
      </c>
      <c r="J5" s="515"/>
      <c r="K5" s="514" t="s">
        <v>190</v>
      </c>
      <c r="L5" s="515"/>
      <c r="M5" s="172" t="s">
        <v>192</v>
      </c>
    </row>
    <row r="6" spans="2:13" ht="15.75" x14ac:dyDescent="0.25">
      <c r="B6" s="510"/>
      <c r="C6" s="523"/>
      <c r="D6" s="172" t="s">
        <v>180</v>
      </c>
      <c r="E6" s="175" t="s">
        <v>183</v>
      </c>
      <c r="F6" s="177" t="s">
        <v>186</v>
      </c>
      <c r="G6" s="504"/>
      <c r="H6" s="505"/>
      <c r="I6" s="504"/>
      <c r="J6" s="505"/>
      <c r="K6" s="504"/>
      <c r="L6" s="505"/>
      <c r="M6" s="172" t="s">
        <v>179</v>
      </c>
    </row>
    <row r="7" spans="2:13" ht="26.25" thickBot="1" x14ac:dyDescent="0.3">
      <c r="B7" s="510"/>
      <c r="C7" s="523"/>
      <c r="D7" s="173"/>
      <c r="E7" s="172" t="s">
        <v>184</v>
      </c>
      <c r="F7" s="173"/>
      <c r="G7" s="501"/>
      <c r="H7" s="481"/>
      <c r="I7" s="501"/>
      <c r="J7" s="481"/>
      <c r="K7" s="501"/>
      <c r="L7" s="481"/>
      <c r="M7" s="178" t="s">
        <v>193</v>
      </c>
    </row>
    <row r="8" spans="2:13" ht="16.5" thickBot="1" x14ac:dyDescent="0.3">
      <c r="B8" s="511"/>
      <c r="C8" s="524"/>
      <c r="D8" s="174"/>
      <c r="E8" s="174"/>
      <c r="F8" s="174"/>
      <c r="G8" s="165" t="s">
        <v>194</v>
      </c>
      <c r="H8" s="165" t="s">
        <v>195</v>
      </c>
      <c r="I8" s="165" t="s">
        <v>194</v>
      </c>
      <c r="J8" s="165" t="s">
        <v>195</v>
      </c>
      <c r="K8" s="165" t="s">
        <v>194</v>
      </c>
      <c r="L8" s="165" t="s">
        <v>195</v>
      </c>
      <c r="M8" s="165" t="s">
        <v>196</v>
      </c>
    </row>
    <row r="9" spans="2:13" ht="15.75" customHeight="1" thickBot="1" x14ac:dyDescent="0.3">
      <c r="B9" s="164">
        <v>81</v>
      </c>
      <c r="C9" s="163" t="s">
        <v>166</v>
      </c>
      <c r="D9" s="163">
        <v>2500</v>
      </c>
      <c r="E9" s="163">
        <v>0.84</v>
      </c>
      <c r="F9" s="163">
        <v>1.69</v>
      </c>
      <c r="G9" s="163">
        <v>2</v>
      </c>
      <c r="H9" s="163">
        <v>3</v>
      </c>
      <c r="I9" s="163">
        <v>1.92</v>
      </c>
      <c r="J9" s="163">
        <v>2.04</v>
      </c>
      <c r="K9" s="163">
        <v>17.98</v>
      </c>
      <c r="L9" s="163">
        <v>18.95</v>
      </c>
      <c r="M9" s="163">
        <v>0.03</v>
      </c>
    </row>
    <row r="10" spans="2:13" ht="39" customHeight="1" thickBot="1" x14ac:dyDescent="0.3">
      <c r="B10" s="164">
        <v>82</v>
      </c>
      <c r="C10" s="165" t="s">
        <v>167</v>
      </c>
      <c r="D10" s="165">
        <v>2400</v>
      </c>
      <c r="E10" s="165">
        <v>0.84</v>
      </c>
      <c r="F10" s="165">
        <v>1.51</v>
      </c>
      <c r="G10" s="165">
        <v>2</v>
      </c>
      <c r="H10" s="165">
        <v>3</v>
      </c>
      <c r="I10" s="165">
        <v>1.74</v>
      </c>
      <c r="J10" s="165">
        <v>1.86</v>
      </c>
      <c r="K10" s="165">
        <v>16.77</v>
      </c>
      <c r="L10" s="165">
        <v>17.88</v>
      </c>
      <c r="M10" s="166">
        <v>0.03</v>
      </c>
    </row>
    <row r="11" spans="2:13" ht="16.5" customHeight="1" thickBot="1" x14ac:dyDescent="0.3">
      <c r="B11" s="506" t="s">
        <v>168</v>
      </c>
      <c r="C11" s="507"/>
      <c r="D11" s="507"/>
      <c r="E11" s="507"/>
      <c r="F11" s="507"/>
      <c r="G11" s="507"/>
      <c r="H11" s="507"/>
      <c r="I11" s="507"/>
      <c r="J11" s="507"/>
      <c r="K11" s="507"/>
      <c r="L11" s="507"/>
      <c r="M11" s="508"/>
    </row>
    <row r="12" spans="2:13" ht="16.5" thickBot="1" x14ac:dyDescent="0.3">
      <c r="B12" s="164">
        <v>83</v>
      </c>
      <c r="C12" s="165" t="s">
        <v>169</v>
      </c>
      <c r="D12" s="165">
        <v>1600</v>
      </c>
      <c r="E12" s="165">
        <v>0.84</v>
      </c>
      <c r="F12" s="165">
        <v>0.47</v>
      </c>
      <c r="G12" s="165">
        <v>2</v>
      </c>
      <c r="H12" s="165">
        <v>4</v>
      </c>
      <c r="I12" s="165">
        <v>0.7</v>
      </c>
      <c r="J12" s="165">
        <v>0.81</v>
      </c>
      <c r="K12" s="165">
        <v>8.69</v>
      </c>
      <c r="L12" s="165">
        <v>9.76</v>
      </c>
      <c r="M12" s="165">
        <v>0.12</v>
      </c>
    </row>
    <row r="13" spans="2:13" ht="15.75" x14ac:dyDescent="0.25">
      <c r="B13" s="512">
        <v>84</v>
      </c>
      <c r="C13" s="168" t="s">
        <v>170</v>
      </c>
      <c r="D13" s="512">
        <v>1700</v>
      </c>
      <c r="E13" s="512">
        <v>0.84</v>
      </c>
      <c r="F13" s="512">
        <v>0.52</v>
      </c>
      <c r="G13" s="512">
        <v>2</v>
      </c>
      <c r="H13" s="512">
        <v>4</v>
      </c>
      <c r="I13" s="512">
        <v>0.7</v>
      </c>
      <c r="J13" s="512">
        <v>0.87</v>
      </c>
      <c r="K13" s="512">
        <v>8.9499999999999993</v>
      </c>
      <c r="L13" s="512">
        <v>10.42</v>
      </c>
      <c r="M13" s="512">
        <v>9.8000000000000004E-2</v>
      </c>
    </row>
    <row r="14" spans="2:13" ht="16.5" thickBot="1" x14ac:dyDescent="0.3">
      <c r="B14" s="513"/>
      <c r="C14" s="165" t="s">
        <v>171</v>
      </c>
      <c r="D14" s="513"/>
      <c r="E14" s="513"/>
      <c r="F14" s="513"/>
      <c r="G14" s="513"/>
      <c r="H14" s="513"/>
      <c r="I14" s="513"/>
      <c r="J14" s="513"/>
      <c r="K14" s="513"/>
      <c r="L14" s="513"/>
      <c r="M14" s="513"/>
    </row>
    <row r="15" spans="2:13" ht="16.5" thickBot="1" x14ac:dyDescent="0.3">
      <c r="B15" s="164">
        <v>85</v>
      </c>
      <c r="C15" s="165" t="s">
        <v>172</v>
      </c>
      <c r="D15" s="165">
        <v>1800</v>
      </c>
      <c r="E15" s="165">
        <v>0.84</v>
      </c>
      <c r="F15" s="165">
        <v>0.57999999999999996</v>
      </c>
      <c r="G15" s="165">
        <v>2</v>
      </c>
      <c r="H15" s="165">
        <v>4</v>
      </c>
      <c r="I15" s="165">
        <v>0.76</v>
      </c>
      <c r="J15" s="165">
        <v>0.93</v>
      </c>
      <c r="K15" s="165">
        <v>9.6</v>
      </c>
      <c r="L15" s="165">
        <v>11.09</v>
      </c>
      <c r="M15" s="165">
        <v>0.09</v>
      </c>
    </row>
    <row r="18" spans="3:11" ht="39.75" customHeight="1" x14ac:dyDescent="0.25">
      <c r="C18" s="534" t="s">
        <v>199</v>
      </c>
      <c r="D18" s="534"/>
      <c r="E18" s="534"/>
      <c r="F18" s="534"/>
    </row>
    <row r="19" spans="3:11" ht="16.5" thickBot="1" x14ac:dyDescent="0.3">
      <c r="C19" s="182"/>
    </row>
    <row r="20" spans="3:11" ht="50.25" customHeight="1" thickBot="1" x14ac:dyDescent="0.3">
      <c r="C20" s="512" t="s">
        <v>200</v>
      </c>
      <c r="D20" s="531" t="s">
        <v>201</v>
      </c>
      <c r="E20" s="532"/>
      <c r="F20" s="533"/>
    </row>
    <row r="21" spans="3:11" ht="32.25" thickBot="1" x14ac:dyDescent="0.3">
      <c r="C21" s="513"/>
      <c r="D21" s="165" t="s">
        <v>202</v>
      </c>
      <c r="E21" s="165" t="s">
        <v>203</v>
      </c>
      <c r="F21" s="165" t="s">
        <v>204</v>
      </c>
    </row>
    <row r="22" spans="3:11" ht="16.5" thickBot="1" x14ac:dyDescent="0.3">
      <c r="C22" s="183" t="s">
        <v>205</v>
      </c>
      <c r="D22" s="165">
        <v>0.94799999999999995</v>
      </c>
      <c r="E22" s="165">
        <v>1.655</v>
      </c>
      <c r="F22" s="165">
        <v>2.1</v>
      </c>
    </row>
    <row r="23" spans="3:11" ht="16.5" thickBot="1" x14ac:dyDescent="0.3">
      <c r="C23" s="183" t="s">
        <v>206</v>
      </c>
      <c r="D23" s="165">
        <v>1.5</v>
      </c>
      <c r="E23" s="165">
        <v>2.2000000000000002</v>
      </c>
      <c r="F23" s="165">
        <v>2.2999999999999998</v>
      </c>
    </row>
    <row r="24" spans="3:11" ht="16.5" thickBot="1" x14ac:dyDescent="0.3">
      <c r="C24" s="184" t="s">
        <v>207</v>
      </c>
      <c r="D24" s="165">
        <v>1.75</v>
      </c>
      <c r="E24" s="165">
        <v>2.3530000000000002</v>
      </c>
      <c r="F24" s="165">
        <v>2.9049999999999998</v>
      </c>
    </row>
    <row r="27" spans="3:11" ht="25.5" customHeight="1" x14ac:dyDescent="0.25">
      <c r="C27" s="525" t="s">
        <v>208</v>
      </c>
      <c r="D27" s="525"/>
      <c r="E27" s="525"/>
      <c r="F27" s="525"/>
    </row>
    <row r="28" spans="3:11" ht="48.75" thickBot="1" x14ac:dyDescent="0.3">
      <c r="C28" s="185" t="s">
        <v>209</v>
      </c>
    </row>
    <row r="29" spans="3:11" ht="37.5" customHeight="1" thickBot="1" x14ac:dyDescent="0.3">
      <c r="C29" s="186" t="s">
        <v>210</v>
      </c>
      <c r="D29" s="485" t="s">
        <v>211</v>
      </c>
      <c r="E29" s="484"/>
      <c r="F29" s="499" t="s">
        <v>212</v>
      </c>
      <c r="G29" s="521"/>
      <c r="H29" s="500"/>
      <c r="I29" s="485" t="s">
        <v>213</v>
      </c>
      <c r="J29" s="484"/>
      <c r="K29" s="189" t="s">
        <v>214</v>
      </c>
    </row>
    <row r="30" spans="3:11" ht="24" customHeight="1" thickBot="1" x14ac:dyDescent="0.3">
      <c r="C30" s="190"/>
      <c r="D30" s="486"/>
      <c r="E30" s="479"/>
      <c r="F30" s="499" t="s">
        <v>215</v>
      </c>
      <c r="G30" s="521"/>
      <c r="H30" s="500"/>
      <c r="I30" s="486"/>
      <c r="J30" s="479"/>
      <c r="K30" s="191"/>
    </row>
    <row r="31" spans="3:11" ht="15.75" thickBot="1" x14ac:dyDescent="0.3">
      <c r="C31" s="192"/>
      <c r="D31" s="502"/>
      <c r="E31" s="503"/>
      <c r="F31" s="499" t="s">
        <v>216</v>
      </c>
      <c r="G31" s="500"/>
      <c r="H31" s="191" t="s">
        <v>217</v>
      </c>
      <c r="I31" s="502"/>
      <c r="J31" s="503"/>
      <c r="K31" s="193"/>
    </row>
    <row r="32" spans="3:11" ht="24" x14ac:dyDescent="0.25">
      <c r="C32" s="194" t="s">
        <v>218</v>
      </c>
      <c r="D32" s="485"/>
      <c r="E32" s="484"/>
      <c r="F32" s="485"/>
      <c r="G32" s="484"/>
      <c r="H32" s="189"/>
      <c r="I32" s="485"/>
      <c r="J32" s="484"/>
      <c r="K32" s="191"/>
    </row>
    <row r="33" spans="3:11" x14ac:dyDescent="0.25">
      <c r="C33" s="194">
        <v>75</v>
      </c>
      <c r="D33" s="486"/>
      <c r="E33" s="479"/>
      <c r="F33" s="486"/>
      <c r="G33" s="479"/>
      <c r="H33" s="191"/>
      <c r="I33" s="486"/>
      <c r="J33" s="479"/>
      <c r="K33" s="191"/>
    </row>
    <row r="34" spans="3:11" x14ac:dyDescent="0.25">
      <c r="C34" s="194">
        <v>100</v>
      </c>
      <c r="D34" s="486"/>
      <c r="E34" s="479"/>
      <c r="F34" s="486"/>
      <c r="G34" s="479"/>
      <c r="H34" s="191"/>
      <c r="I34" s="486"/>
      <c r="J34" s="479"/>
      <c r="K34" s="191"/>
    </row>
    <row r="35" spans="3:11" x14ac:dyDescent="0.25">
      <c r="C35" s="195"/>
      <c r="D35" s="486"/>
      <c r="E35" s="479"/>
      <c r="F35" s="486"/>
      <c r="G35" s="479"/>
      <c r="H35" s="191"/>
      <c r="I35" s="486"/>
      <c r="J35" s="479"/>
      <c r="K35" s="191"/>
    </row>
    <row r="36" spans="3:11" ht="24" x14ac:dyDescent="0.25">
      <c r="C36" s="195"/>
      <c r="D36" s="486" t="s">
        <v>219</v>
      </c>
      <c r="E36" s="479"/>
      <c r="F36" s="486" t="s">
        <v>221</v>
      </c>
      <c r="G36" s="479"/>
      <c r="H36" s="191" t="s">
        <v>223</v>
      </c>
      <c r="I36" s="486" t="s">
        <v>225</v>
      </c>
      <c r="J36" s="479"/>
      <c r="K36" s="191" t="s">
        <v>227</v>
      </c>
    </row>
    <row r="37" spans="3:11" x14ac:dyDescent="0.25">
      <c r="C37" s="195"/>
      <c r="D37" s="486"/>
      <c r="E37" s="479"/>
      <c r="F37" s="486"/>
      <c r="G37" s="479"/>
      <c r="H37" s="191"/>
      <c r="I37" s="486" t="s">
        <v>226</v>
      </c>
      <c r="J37" s="479"/>
      <c r="K37" s="191"/>
    </row>
    <row r="38" spans="3:11" ht="24.75" thickBot="1" x14ac:dyDescent="0.3">
      <c r="C38" s="196"/>
      <c r="D38" s="502" t="s">
        <v>220</v>
      </c>
      <c r="E38" s="503"/>
      <c r="F38" s="502" t="s">
        <v>222</v>
      </c>
      <c r="G38" s="503"/>
      <c r="H38" s="198" t="s">
        <v>224</v>
      </c>
      <c r="I38" s="501"/>
      <c r="J38" s="481"/>
      <c r="K38" s="174"/>
    </row>
    <row r="39" spans="3:11" ht="24" x14ac:dyDescent="0.25">
      <c r="C39" s="194" t="s">
        <v>228</v>
      </c>
      <c r="D39" s="485"/>
      <c r="E39" s="484"/>
      <c r="F39" s="485"/>
      <c r="G39" s="484"/>
      <c r="H39" s="191"/>
      <c r="I39" s="485"/>
      <c r="J39" s="484"/>
      <c r="K39" s="191"/>
    </row>
    <row r="40" spans="3:11" x14ac:dyDescent="0.25">
      <c r="C40" s="194">
        <v>250</v>
      </c>
      <c r="D40" s="486"/>
      <c r="E40" s="479"/>
      <c r="F40" s="486"/>
      <c r="G40" s="479"/>
      <c r="H40" s="191"/>
      <c r="I40" s="486"/>
      <c r="J40" s="479"/>
      <c r="K40" s="191"/>
    </row>
    <row r="41" spans="3:11" x14ac:dyDescent="0.25">
      <c r="C41" s="194">
        <v>300</v>
      </c>
      <c r="D41" s="486"/>
      <c r="E41" s="479"/>
      <c r="F41" s="486"/>
      <c r="G41" s="479"/>
      <c r="H41" s="191"/>
      <c r="I41" s="486"/>
      <c r="J41" s="479"/>
      <c r="K41" s="191"/>
    </row>
    <row r="42" spans="3:11" x14ac:dyDescent="0.25">
      <c r="C42" s="194">
        <v>350</v>
      </c>
      <c r="D42" s="486">
        <v>250</v>
      </c>
      <c r="E42" s="479"/>
      <c r="F42" s="486" t="s">
        <v>229</v>
      </c>
      <c r="G42" s="479"/>
      <c r="H42" s="191" t="s">
        <v>232</v>
      </c>
      <c r="I42" s="486"/>
      <c r="J42" s="479"/>
      <c r="K42" s="191"/>
    </row>
    <row r="43" spans="3:11" ht="24" x14ac:dyDescent="0.25">
      <c r="C43" s="195"/>
      <c r="D43" s="486">
        <v>300</v>
      </c>
      <c r="E43" s="479"/>
      <c r="F43" s="486" t="s">
        <v>230</v>
      </c>
      <c r="G43" s="479"/>
      <c r="H43" s="191" t="s">
        <v>232</v>
      </c>
      <c r="I43" s="486" t="s">
        <v>233</v>
      </c>
      <c r="J43" s="479"/>
      <c r="K43" s="191" t="s">
        <v>234</v>
      </c>
    </row>
    <row r="44" spans="3:11" ht="15.75" thickBot="1" x14ac:dyDescent="0.3">
      <c r="C44" s="196"/>
      <c r="D44" s="502">
        <v>350</v>
      </c>
      <c r="E44" s="503"/>
      <c r="F44" s="502" t="s">
        <v>231</v>
      </c>
      <c r="G44" s="503"/>
      <c r="H44" s="198" t="s">
        <v>232</v>
      </c>
      <c r="I44" s="501"/>
      <c r="J44" s="481"/>
      <c r="K44" s="174"/>
    </row>
    <row r="45" spans="3:11" ht="24" x14ac:dyDescent="0.25">
      <c r="C45" s="194" t="s">
        <v>235</v>
      </c>
      <c r="D45" s="485"/>
      <c r="E45" s="484"/>
      <c r="F45" s="485"/>
      <c r="G45" s="484"/>
      <c r="H45" s="191"/>
      <c r="I45" s="485"/>
      <c r="J45" s="484"/>
      <c r="K45" s="191"/>
    </row>
    <row r="46" spans="3:11" x14ac:dyDescent="0.25">
      <c r="C46" s="194">
        <v>200</v>
      </c>
      <c r="D46" s="486"/>
      <c r="E46" s="479"/>
      <c r="F46" s="486"/>
      <c r="G46" s="479"/>
      <c r="H46" s="191"/>
      <c r="I46" s="486"/>
      <c r="J46" s="479"/>
      <c r="K46" s="191"/>
    </row>
    <row r="47" spans="3:11" x14ac:dyDescent="0.25">
      <c r="C47" s="194">
        <v>225</v>
      </c>
      <c r="D47" s="486"/>
      <c r="E47" s="479"/>
      <c r="F47" s="486"/>
      <c r="G47" s="479"/>
      <c r="H47" s="191"/>
      <c r="I47" s="486"/>
      <c r="J47" s="479"/>
      <c r="K47" s="191"/>
    </row>
    <row r="48" spans="3:11" x14ac:dyDescent="0.25">
      <c r="C48" s="195"/>
      <c r="D48" s="486"/>
      <c r="E48" s="479"/>
      <c r="F48" s="486"/>
      <c r="G48" s="479"/>
      <c r="H48" s="191"/>
      <c r="I48" s="486"/>
      <c r="J48" s="479"/>
      <c r="K48" s="191"/>
    </row>
    <row r="49" spans="3:11" x14ac:dyDescent="0.25">
      <c r="C49" s="195"/>
      <c r="D49" s="486"/>
      <c r="E49" s="479"/>
      <c r="F49" s="486"/>
      <c r="G49" s="479"/>
      <c r="H49" s="191"/>
      <c r="I49" s="486"/>
      <c r="J49" s="479"/>
      <c r="K49" s="191"/>
    </row>
    <row r="50" spans="3:11" ht="24" x14ac:dyDescent="0.25">
      <c r="C50" s="195"/>
      <c r="D50" s="486">
        <v>200</v>
      </c>
      <c r="E50" s="479"/>
      <c r="F50" s="486" t="s">
        <v>236</v>
      </c>
      <c r="G50" s="479"/>
      <c r="H50" s="191" t="s">
        <v>232</v>
      </c>
      <c r="I50" s="486" t="s">
        <v>233</v>
      </c>
      <c r="J50" s="479"/>
      <c r="K50" s="191" t="s">
        <v>234</v>
      </c>
    </row>
    <row r="51" spans="3:11" ht="15.75" thickBot="1" x14ac:dyDescent="0.3">
      <c r="C51" s="196"/>
      <c r="D51" s="502">
        <v>225</v>
      </c>
      <c r="E51" s="503"/>
      <c r="F51" s="502" t="s">
        <v>237</v>
      </c>
      <c r="G51" s="503"/>
      <c r="H51" s="198" t="s">
        <v>232</v>
      </c>
      <c r="I51" s="501"/>
      <c r="J51" s="481"/>
      <c r="K51" s="174"/>
    </row>
    <row r="52" spans="3:11" ht="36" customHeight="1" x14ac:dyDescent="0.25">
      <c r="C52" s="194" t="s">
        <v>238</v>
      </c>
      <c r="D52" s="485" t="s">
        <v>239</v>
      </c>
      <c r="E52" s="484"/>
      <c r="F52" s="485"/>
      <c r="G52" s="484"/>
      <c r="H52" s="191"/>
      <c r="I52" s="485"/>
      <c r="J52" s="484"/>
      <c r="K52" s="191"/>
    </row>
    <row r="53" spans="3:11" x14ac:dyDescent="0.25">
      <c r="C53" s="194">
        <v>75</v>
      </c>
      <c r="D53" s="486"/>
      <c r="E53" s="479"/>
      <c r="F53" s="486"/>
      <c r="G53" s="479"/>
      <c r="H53" s="191"/>
      <c r="I53" s="486"/>
      <c r="J53" s="479"/>
      <c r="K53" s="191"/>
    </row>
    <row r="54" spans="3:11" x14ac:dyDescent="0.25">
      <c r="C54" s="194">
        <v>100</v>
      </c>
      <c r="D54" s="486" t="s">
        <v>240</v>
      </c>
      <c r="E54" s="479"/>
      <c r="F54" s="486"/>
      <c r="G54" s="479"/>
      <c r="H54" s="191"/>
      <c r="I54" s="486"/>
      <c r="J54" s="479"/>
      <c r="K54" s="191"/>
    </row>
    <row r="55" spans="3:11" x14ac:dyDescent="0.25">
      <c r="C55" s="195"/>
      <c r="D55" s="486" t="s">
        <v>241</v>
      </c>
      <c r="E55" s="479"/>
      <c r="F55" s="486"/>
      <c r="G55" s="479"/>
      <c r="H55" s="191"/>
      <c r="I55" s="486"/>
      <c r="J55" s="479"/>
      <c r="K55" s="191"/>
    </row>
    <row r="56" spans="3:11" x14ac:dyDescent="0.25">
      <c r="C56" s="195"/>
      <c r="D56" s="504"/>
      <c r="E56" s="505"/>
      <c r="F56" s="486"/>
      <c r="G56" s="479"/>
      <c r="H56" s="191"/>
      <c r="I56" s="486"/>
      <c r="J56" s="479"/>
      <c r="K56" s="191"/>
    </row>
    <row r="57" spans="3:11" ht="18.75" x14ac:dyDescent="0.25">
      <c r="C57" s="195"/>
      <c r="D57" s="504"/>
      <c r="E57" s="505"/>
      <c r="F57" s="486"/>
      <c r="G57" s="479"/>
      <c r="H57" s="199"/>
      <c r="I57" s="486"/>
      <c r="J57" s="479"/>
      <c r="K57" s="191"/>
    </row>
    <row r="58" spans="3:11" ht="24" x14ac:dyDescent="0.25">
      <c r="C58" s="195"/>
      <c r="D58" s="504"/>
      <c r="E58" s="505"/>
      <c r="F58" s="486" t="s">
        <v>242</v>
      </c>
      <c r="G58" s="479"/>
      <c r="H58" s="191" t="s">
        <v>244</v>
      </c>
      <c r="I58" s="486" t="s">
        <v>245</v>
      </c>
      <c r="J58" s="479"/>
      <c r="K58" s="191" t="s">
        <v>234</v>
      </c>
    </row>
    <row r="59" spans="3:11" ht="15.75" thickBot="1" x14ac:dyDescent="0.3">
      <c r="C59" s="196"/>
      <c r="D59" s="501"/>
      <c r="E59" s="481"/>
      <c r="F59" s="502" t="s">
        <v>243</v>
      </c>
      <c r="G59" s="503"/>
      <c r="H59" s="174"/>
      <c r="I59" s="501"/>
      <c r="J59" s="481"/>
      <c r="K59" s="174"/>
    </row>
    <row r="60" spans="3:11" ht="24" x14ac:dyDescent="0.25">
      <c r="C60" s="194" t="s">
        <v>246</v>
      </c>
      <c r="D60" s="485"/>
      <c r="E60" s="484"/>
      <c r="F60" s="485"/>
      <c r="G60" s="484"/>
      <c r="H60" s="191"/>
      <c r="I60" s="485"/>
      <c r="J60" s="484"/>
      <c r="K60" s="191"/>
    </row>
    <row r="61" spans="3:11" x14ac:dyDescent="0.25">
      <c r="C61" s="194">
        <v>300</v>
      </c>
      <c r="D61" s="486"/>
      <c r="E61" s="479"/>
      <c r="F61" s="486"/>
      <c r="G61" s="479"/>
      <c r="H61" s="191"/>
      <c r="I61" s="486"/>
      <c r="J61" s="479"/>
      <c r="K61" s="191"/>
    </row>
    <row r="62" spans="3:11" x14ac:dyDescent="0.25">
      <c r="C62" s="194">
        <v>350</v>
      </c>
      <c r="D62" s="486"/>
      <c r="E62" s="479"/>
      <c r="F62" s="486"/>
      <c r="G62" s="479"/>
      <c r="H62" s="191"/>
      <c r="I62" s="486"/>
      <c r="J62" s="479"/>
      <c r="K62" s="191"/>
    </row>
    <row r="63" spans="3:11" x14ac:dyDescent="0.25">
      <c r="C63" s="194">
        <v>400</v>
      </c>
      <c r="D63" s="486">
        <v>300</v>
      </c>
      <c r="E63" s="479"/>
      <c r="F63" s="486" t="s">
        <v>247</v>
      </c>
      <c r="G63" s="479"/>
      <c r="H63" s="191" t="s">
        <v>232</v>
      </c>
      <c r="I63" s="486"/>
      <c r="J63" s="479"/>
      <c r="K63" s="191"/>
    </row>
    <row r="64" spans="3:11" ht="24" x14ac:dyDescent="0.25">
      <c r="C64" s="195"/>
      <c r="D64" s="486">
        <v>350</v>
      </c>
      <c r="E64" s="479"/>
      <c r="F64" s="486" t="s">
        <v>248</v>
      </c>
      <c r="G64" s="479"/>
      <c r="H64" s="191" t="s">
        <v>232</v>
      </c>
      <c r="I64" s="486" t="s">
        <v>233</v>
      </c>
      <c r="J64" s="479"/>
      <c r="K64" s="191" t="s">
        <v>234</v>
      </c>
    </row>
    <row r="65" spans="3:11" ht="15.75" thickBot="1" x14ac:dyDescent="0.3">
      <c r="C65" s="196"/>
      <c r="D65" s="502">
        <v>400</v>
      </c>
      <c r="E65" s="503"/>
      <c r="F65" s="502" t="s">
        <v>249</v>
      </c>
      <c r="G65" s="503"/>
      <c r="H65" s="198" t="s">
        <v>232</v>
      </c>
      <c r="I65" s="501"/>
      <c r="J65" s="481"/>
      <c r="K65" s="174"/>
    </row>
    <row r="66" spans="3:11" ht="60" customHeight="1" thickBot="1" x14ac:dyDescent="0.3">
      <c r="C66" s="200" t="s">
        <v>250</v>
      </c>
      <c r="D66" s="499" t="s">
        <v>251</v>
      </c>
      <c r="E66" s="500"/>
      <c r="F66" s="499" t="s">
        <v>252</v>
      </c>
      <c r="G66" s="500"/>
      <c r="H66" s="198" t="s">
        <v>232</v>
      </c>
      <c r="I66" s="499" t="s">
        <v>253</v>
      </c>
      <c r="J66" s="500"/>
      <c r="K66" s="198" t="s">
        <v>234</v>
      </c>
    </row>
    <row r="67" spans="3:11" ht="48" customHeight="1" x14ac:dyDescent="0.25">
      <c r="C67" s="201" t="s">
        <v>254</v>
      </c>
      <c r="D67" s="482"/>
      <c r="E67" s="482"/>
      <c r="F67" s="482"/>
      <c r="G67" s="482"/>
      <c r="H67" s="187"/>
      <c r="I67" s="482" t="s">
        <v>260</v>
      </c>
      <c r="J67" s="482" t="s">
        <v>261</v>
      </c>
      <c r="K67" s="484"/>
    </row>
    <row r="68" spans="3:11" x14ac:dyDescent="0.25">
      <c r="C68" s="201">
        <v>100</v>
      </c>
      <c r="D68" s="490"/>
      <c r="E68" s="490"/>
      <c r="F68" s="490"/>
      <c r="G68" s="490"/>
      <c r="H68" s="187"/>
      <c r="I68" s="490"/>
      <c r="J68" s="490"/>
      <c r="K68" s="479"/>
    </row>
    <row r="69" spans="3:11" x14ac:dyDescent="0.25">
      <c r="C69" s="201">
        <v>125</v>
      </c>
      <c r="D69" s="490"/>
      <c r="E69" s="490"/>
      <c r="F69" s="490"/>
      <c r="G69" s="490"/>
      <c r="H69" s="187"/>
      <c r="I69" s="490"/>
      <c r="J69" s="490"/>
      <c r="K69" s="479"/>
    </row>
    <row r="70" spans="3:11" x14ac:dyDescent="0.25">
      <c r="C70" s="180"/>
      <c r="D70" s="490"/>
      <c r="E70" s="490"/>
      <c r="F70" s="490"/>
      <c r="G70" s="490"/>
      <c r="H70" s="187"/>
      <c r="I70" s="490"/>
      <c r="J70" s="490"/>
      <c r="K70" s="479"/>
    </row>
    <row r="71" spans="3:11" ht="24" x14ac:dyDescent="0.25">
      <c r="C71" s="180"/>
      <c r="D71" s="490" t="s">
        <v>255</v>
      </c>
      <c r="E71" s="490"/>
      <c r="F71" s="490" t="s">
        <v>257</v>
      </c>
      <c r="G71" s="490"/>
      <c r="H71" s="187" t="s">
        <v>259</v>
      </c>
      <c r="I71" s="490"/>
      <c r="J71" s="490"/>
      <c r="K71" s="479"/>
    </row>
    <row r="72" spans="3:11" x14ac:dyDescent="0.25">
      <c r="C72" s="180"/>
      <c r="D72" s="490" t="s">
        <v>256</v>
      </c>
      <c r="E72" s="490"/>
      <c r="F72" s="490" t="s">
        <v>258</v>
      </c>
      <c r="G72" s="490"/>
      <c r="H72" s="170"/>
      <c r="I72" s="490"/>
      <c r="J72" s="490"/>
      <c r="K72" s="479"/>
    </row>
    <row r="73" spans="3:11" ht="36" x14ac:dyDescent="0.25">
      <c r="C73" s="201" t="s">
        <v>262</v>
      </c>
      <c r="D73" s="187"/>
      <c r="E73" s="490"/>
      <c r="F73" s="490"/>
      <c r="G73" s="490"/>
      <c r="H73" s="490"/>
      <c r="I73" s="187"/>
      <c r="J73" s="490"/>
      <c r="K73" s="479"/>
    </row>
    <row r="74" spans="3:11" x14ac:dyDescent="0.25">
      <c r="C74" s="201" t="s">
        <v>263</v>
      </c>
      <c r="D74" s="187"/>
      <c r="E74" s="490"/>
      <c r="F74" s="490"/>
      <c r="G74" s="490"/>
      <c r="H74" s="490"/>
      <c r="I74" s="187"/>
      <c r="J74" s="490"/>
      <c r="K74" s="479"/>
    </row>
    <row r="75" spans="3:11" x14ac:dyDescent="0.25">
      <c r="C75" s="201" t="s">
        <v>264</v>
      </c>
      <c r="D75" s="187"/>
      <c r="E75" s="490"/>
      <c r="F75" s="490"/>
      <c r="G75" s="490"/>
      <c r="H75" s="490"/>
      <c r="I75" s="187"/>
      <c r="J75" s="490"/>
      <c r="K75" s="479"/>
    </row>
    <row r="76" spans="3:11" x14ac:dyDescent="0.25">
      <c r="C76" s="180"/>
      <c r="D76" s="187"/>
      <c r="E76" s="490"/>
      <c r="F76" s="490"/>
      <c r="G76" s="490"/>
      <c r="H76" s="490"/>
      <c r="I76" s="187"/>
      <c r="J76" s="490"/>
      <c r="K76" s="479"/>
    </row>
    <row r="77" spans="3:11" x14ac:dyDescent="0.25">
      <c r="C77" s="180"/>
      <c r="D77" s="187"/>
      <c r="E77" s="490"/>
      <c r="F77" s="490"/>
      <c r="G77" s="490"/>
      <c r="H77" s="490"/>
      <c r="I77" s="187"/>
      <c r="J77" s="490"/>
      <c r="K77" s="479"/>
    </row>
    <row r="78" spans="3:11" ht="24" x14ac:dyDescent="0.25">
      <c r="C78" s="180"/>
      <c r="D78" s="187" t="s">
        <v>265</v>
      </c>
      <c r="E78" s="490" t="s">
        <v>267</v>
      </c>
      <c r="F78" s="490"/>
      <c r="G78" s="490">
        <v>4.8000000000000001E-2</v>
      </c>
      <c r="H78" s="490"/>
      <c r="I78" s="187" t="s">
        <v>269</v>
      </c>
      <c r="J78" s="490" t="s">
        <v>234</v>
      </c>
      <c r="K78" s="479"/>
    </row>
    <row r="79" spans="3:11" ht="15.75" thickBot="1" x14ac:dyDescent="0.3">
      <c r="C79" s="179"/>
      <c r="D79" s="197" t="s">
        <v>266</v>
      </c>
      <c r="E79" s="498" t="s">
        <v>268</v>
      </c>
      <c r="F79" s="498"/>
      <c r="G79" s="498">
        <v>4.7E-2</v>
      </c>
      <c r="H79" s="498"/>
      <c r="I79" s="171"/>
      <c r="J79" s="480"/>
      <c r="K79" s="481"/>
    </row>
    <row r="80" spans="3:11" x14ac:dyDescent="0.25">
      <c r="C80" s="176"/>
      <c r="D80" s="176"/>
      <c r="E80" s="176"/>
      <c r="F80" s="176"/>
      <c r="G80" s="176"/>
      <c r="H80" s="176"/>
      <c r="I80" s="176"/>
      <c r="J80" s="176"/>
      <c r="K80" s="176"/>
    </row>
    <row r="81" spans="3:8" ht="15.75" thickBot="1" x14ac:dyDescent="0.3">
      <c r="C81" s="185"/>
    </row>
    <row r="82" spans="3:8" ht="61.5" customHeight="1" x14ac:dyDescent="0.25">
      <c r="C82" s="202" t="s">
        <v>210</v>
      </c>
      <c r="D82" s="188" t="s">
        <v>211</v>
      </c>
      <c r="E82" s="482" t="s">
        <v>212</v>
      </c>
      <c r="F82" s="482"/>
      <c r="G82" s="188" t="s">
        <v>270</v>
      </c>
      <c r="H82" s="189" t="s">
        <v>214</v>
      </c>
    </row>
    <row r="83" spans="3:8" ht="24" customHeight="1" x14ac:dyDescent="0.25">
      <c r="C83" s="203"/>
      <c r="D83" s="187"/>
      <c r="E83" s="490" t="s">
        <v>215</v>
      </c>
      <c r="F83" s="490"/>
      <c r="G83" s="187"/>
      <c r="H83" s="191"/>
    </row>
    <row r="84" spans="3:8" x14ac:dyDescent="0.25">
      <c r="C84" s="203"/>
      <c r="D84" s="187"/>
      <c r="E84" s="187" t="s">
        <v>216</v>
      </c>
      <c r="F84" s="187" t="s">
        <v>217</v>
      </c>
      <c r="G84" s="187"/>
      <c r="H84" s="191"/>
    </row>
    <row r="85" spans="3:8" ht="36" x14ac:dyDescent="0.25">
      <c r="C85" s="201" t="s">
        <v>271</v>
      </c>
      <c r="D85" s="187" t="s">
        <v>272</v>
      </c>
      <c r="E85" s="187" t="s">
        <v>273</v>
      </c>
      <c r="F85" s="187" t="s">
        <v>274</v>
      </c>
      <c r="G85" s="187" t="s">
        <v>275</v>
      </c>
      <c r="H85" s="191" t="s">
        <v>234</v>
      </c>
    </row>
    <row r="86" spans="3:8" ht="36" x14ac:dyDescent="0.25">
      <c r="C86" s="201" t="s">
        <v>276</v>
      </c>
      <c r="D86" s="187"/>
      <c r="E86" s="187"/>
      <c r="F86" s="187"/>
      <c r="G86" s="187"/>
      <c r="H86" s="191"/>
    </row>
    <row r="87" spans="3:8" x14ac:dyDescent="0.25">
      <c r="C87" s="201">
        <v>50</v>
      </c>
      <c r="D87" s="187"/>
      <c r="E87" s="187"/>
      <c r="F87" s="187"/>
      <c r="G87" s="187"/>
      <c r="H87" s="191"/>
    </row>
    <row r="88" spans="3:8" x14ac:dyDescent="0.25">
      <c r="C88" s="201">
        <v>75</v>
      </c>
      <c r="D88" s="187"/>
      <c r="E88" s="187"/>
      <c r="F88" s="187"/>
      <c r="G88" s="187"/>
      <c r="H88" s="191"/>
    </row>
    <row r="89" spans="3:8" x14ac:dyDescent="0.25">
      <c r="C89" s="201">
        <v>125</v>
      </c>
      <c r="D89" s="187"/>
      <c r="E89" s="187"/>
      <c r="F89" s="187"/>
      <c r="G89" s="187"/>
      <c r="H89" s="191"/>
    </row>
    <row r="90" spans="3:8" ht="25.5" x14ac:dyDescent="0.25">
      <c r="C90" s="201">
        <v>175</v>
      </c>
      <c r="D90" s="187" t="s">
        <v>277</v>
      </c>
      <c r="E90" s="187" t="s">
        <v>281</v>
      </c>
      <c r="F90" s="187" t="s">
        <v>244</v>
      </c>
      <c r="G90" s="187" t="s">
        <v>245</v>
      </c>
      <c r="H90" s="191"/>
    </row>
    <row r="91" spans="3:8" ht="25.5" x14ac:dyDescent="0.25">
      <c r="C91" s="180"/>
      <c r="D91" s="187" t="s">
        <v>278</v>
      </c>
      <c r="E91" s="187" t="s">
        <v>282</v>
      </c>
      <c r="F91" s="187" t="s">
        <v>244</v>
      </c>
      <c r="G91" s="187" t="s">
        <v>275</v>
      </c>
      <c r="H91" s="191" t="s">
        <v>234</v>
      </c>
    </row>
    <row r="92" spans="3:8" ht="25.5" x14ac:dyDescent="0.25">
      <c r="C92" s="180"/>
      <c r="D92" s="187" t="s">
        <v>279</v>
      </c>
      <c r="E92" s="187" t="s">
        <v>283</v>
      </c>
      <c r="F92" s="187" t="s">
        <v>224</v>
      </c>
      <c r="G92" s="170"/>
      <c r="H92" s="173"/>
    </row>
    <row r="93" spans="3:8" ht="25.5" x14ac:dyDescent="0.25">
      <c r="C93" s="180"/>
      <c r="D93" s="187" t="s">
        <v>280</v>
      </c>
      <c r="E93" s="187" t="s">
        <v>284</v>
      </c>
      <c r="F93" s="187" t="s">
        <v>285</v>
      </c>
      <c r="G93" s="170"/>
      <c r="H93" s="173"/>
    </row>
    <row r="94" spans="3:8" ht="36" x14ac:dyDescent="0.25">
      <c r="C94" s="201" t="s">
        <v>286</v>
      </c>
      <c r="D94" s="187"/>
      <c r="E94" s="187"/>
      <c r="F94" s="187"/>
      <c r="G94" s="187"/>
      <c r="H94" s="191"/>
    </row>
    <row r="95" spans="3:8" x14ac:dyDescent="0.25">
      <c r="C95" s="201" t="s">
        <v>287</v>
      </c>
      <c r="D95" s="187"/>
      <c r="E95" s="187"/>
      <c r="F95" s="187"/>
      <c r="G95" s="187"/>
      <c r="H95" s="191"/>
    </row>
    <row r="96" spans="3:8" x14ac:dyDescent="0.25">
      <c r="C96" s="201" t="s">
        <v>288</v>
      </c>
      <c r="D96" s="187"/>
      <c r="E96" s="187"/>
      <c r="F96" s="187"/>
      <c r="G96" s="187"/>
      <c r="H96" s="191"/>
    </row>
    <row r="97" spans="3:8" ht="15.75" x14ac:dyDescent="0.25">
      <c r="C97" s="180"/>
      <c r="D97" s="187"/>
      <c r="E97" s="187"/>
      <c r="F97" s="167"/>
      <c r="G97" s="187"/>
      <c r="H97" s="191"/>
    </row>
    <row r="98" spans="3:8" ht="25.5" x14ac:dyDescent="0.25">
      <c r="C98" s="180"/>
      <c r="D98" s="187" t="s">
        <v>289</v>
      </c>
      <c r="E98" s="187" t="s">
        <v>291</v>
      </c>
      <c r="F98" s="187">
        <v>5.2999999999999999E-2</v>
      </c>
      <c r="G98" s="187" t="s">
        <v>269</v>
      </c>
      <c r="H98" s="191" t="s">
        <v>227</v>
      </c>
    </row>
    <row r="99" spans="3:8" ht="25.5" x14ac:dyDescent="0.25">
      <c r="C99" s="180"/>
      <c r="D99" s="187" t="s">
        <v>290</v>
      </c>
      <c r="E99" s="187" t="s">
        <v>292</v>
      </c>
      <c r="F99" s="170"/>
      <c r="G99" s="170"/>
      <c r="H99" s="173"/>
    </row>
    <row r="100" spans="3:8" ht="36" x14ac:dyDescent="0.25">
      <c r="C100" s="201" t="s">
        <v>293</v>
      </c>
      <c r="D100" s="187"/>
      <c r="E100" s="187"/>
      <c r="F100" s="187"/>
      <c r="G100" s="187"/>
      <c r="H100" s="191"/>
    </row>
    <row r="101" spans="3:8" x14ac:dyDescent="0.25">
      <c r="C101" s="201">
        <v>75</v>
      </c>
      <c r="D101" s="187"/>
      <c r="E101" s="187"/>
      <c r="F101" s="187"/>
      <c r="G101" s="187"/>
      <c r="H101" s="191"/>
    </row>
    <row r="102" spans="3:8" x14ac:dyDescent="0.25">
      <c r="C102" s="201">
        <v>100</v>
      </c>
      <c r="D102" s="187"/>
      <c r="E102" s="187"/>
      <c r="F102" s="187"/>
      <c r="G102" s="187"/>
      <c r="H102" s="191"/>
    </row>
    <row r="103" spans="3:8" ht="15.75" x14ac:dyDescent="0.25">
      <c r="C103" s="201">
        <v>150</v>
      </c>
      <c r="D103" s="187"/>
      <c r="E103" s="187"/>
      <c r="F103" s="187"/>
      <c r="G103" s="187"/>
      <c r="H103" s="168"/>
    </row>
    <row r="104" spans="3:8" ht="60" x14ac:dyDescent="0.25">
      <c r="C104" s="201">
        <v>200</v>
      </c>
      <c r="D104" s="187" t="s">
        <v>278</v>
      </c>
      <c r="E104" s="187" t="s">
        <v>232</v>
      </c>
      <c r="F104" s="187" t="s">
        <v>297</v>
      </c>
      <c r="G104" s="187"/>
      <c r="H104" s="191" t="s">
        <v>301</v>
      </c>
    </row>
    <row r="105" spans="3:8" ht="24" x14ac:dyDescent="0.25">
      <c r="C105" s="180"/>
      <c r="D105" s="187" t="s">
        <v>294</v>
      </c>
      <c r="E105" s="187" t="s">
        <v>232</v>
      </c>
      <c r="F105" s="187" t="s">
        <v>297</v>
      </c>
      <c r="G105" s="187" t="s">
        <v>300</v>
      </c>
      <c r="H105" s="173"/>
    </row>
    <row r="106" spans="3:8" ht="24" x14ac:dyDescent="0.25">
      <c r="C106" s="180"/>
      <c r="D106" s="187" t="s">
        <v>295</v>
      </c>
      <c r="E106" s="187" t="s">
        <v>232</v>
      </c>
      <c r="F106" s="187" t="s">
        <v>298</v>
      </c>
      <c r="G106" s="170"/>
      <c r="H106" s="173"/>
    </row>
    <row r="107" spans="3:8" ht="24" x14ac:dyDescent="0.25">
      <c r="C107" s="180"/>
      <c r="D107" s="187" t="s">
        <v>296</v>
      </c>
      <c r="E107" s="187" t="s">
        <v>232</v>
      </c>
      <c r="F107" s="187" t="s">
        <v>299</v>
      </c>
      <c r="G107" s="170"/>
      <c r="H107" s="173"/>
    </row>
    <row r="108" spans="3:8" ht="48" x14ac:dyDescent="0.25">
      <c r="C108" s="201" t="s">
        <v>302</v>
      </c>
      <c r="D108" s="187"/>
      <c r="E108" s="187"/>
      <c r="F108" s="187"/>
      <c r="G108" s="187"/>
      <c r="H108" s="191"/>
    </row>
    <row r="109" spans="3:8" x14ac:dyDescent="0.25">
      <c r="C109" s="201">
        <v>50</v>
      </c>
      <c r="D109" s="187"/>
      <c r="E109" s="187"/>
      <c r="F109" s="187"/>
      <c r="G109" s="187"/>
      <c r="H109" s="191"/>
    </row>
    <row r="110" spans="3:8" x14ac:dyDescent="0.25">
      <c r="C110" s="201">
        <v>80</v>
      </c>
      <c r="D110" s="187"/>
      <c r="E110" s="187"/>
      <c r="F110" s="187"/>
      <c r="G110" s="187"/>
      <c r="H110" s="191"/>
    </row>
    <row r="111" spans="3:8" x14ac:dyDescent="0.25">
      <c r="C111" s="201">
        <v>90</v>
      </c>
      <c r="D111" s="187"/>
      <c r="E111" s="187"/>
      <c r="F111" s="187"/>
      <c r="G111" s="187"/>
      <c r="H111" s="191"/>
    </row>
    <row r="112" spans="3:8" ht="15.75" x14ac:dyDescent="0.25">
      <c r="C112" s="180"/>
      <c r="D112" s="187"/>
      <c r="E112" s="187"/>
      <c r="F112" s="187"/>
      <c r="G112" s="167"/>
      <c r="H112" s="191"/>
    </row>
    <row r="113" spans="3:8" ht="25.5" x14ac:dyDescent="0.25">
      <c r="C113" s="180"/>
      <c r="D113" s="187" t="s">
        <v>303</v>
      </c>
      <c r="E113" s="187" t="s">
        <v>306</v>
      </c>
      <c r="F113" s="187" t="s">
        <v>308</v>
      </c>
      <c r="G113" s="187" t="s">
        <v>225</v>
      </c>
      <c r="H113" s="191" t="s">
        <v>227</v>
      </c>
    </row>
    <row r="114" spans="3:8" ht="25.5" x14ac:dyDescent="0.25">
      <c r="C114" s="180"/>
      <c r="D114" s="187" t="s">
        <v>304</v>
      </c>
      <c r="E114" s="187" t="s">
        <v>307</v>
      </c>
      <c r="F114" s="187" t="s">
        <v>223</v>
      </c>
      <c r="G114" s="170"/>
      <c r="H114" s="173"/>
    </row>
    <row r="115" spans="3:8" ht="25.5" x14ac:dyDescent="0.25">
      <c r="C115" s="180"/>
      <c r="D115" s="187" t="s">
        <v>305</v>
      </c>
      <c r="E115" s="187" t="s">
        <v>222</v>
      </c>
      <c r="F115" s="187" t="s">
        <v>224</v>
      </c>
      <c r="G115" s="170"/>
      <c r="H115" s="173"/>
    </row>
    <row r="116" spans="3:8" ht="36" x14ac:dyDescent="0.25">
      <c r="C116" s="201" t="s">
        <v>309</v>
      </c>
      <c r="D116" s="187"/>
      <c r="E116" s="187"/>
      <c r="F116" s="187"/>
      <c r="G116" s="187"/>
      <c r="H116" s="191"/>
    </row>
    <row r="117" spans="3:8" x14ac:dyDescent="0.25">
      <c r="C117" s="201" t="s">
        <v>310</v>
      </c>
      <c r="D117" s="187"/>
      <c r="E117" s="187"/>
      <c r="F117" s="187"/>
      <c r="G117" s="187"/>
      <c r="H117" s="191"/>
    </row>
    <row r="118" spans="3:8" ht="15.75" x14ac:dyDescent="0.25">
      <c r="C118" s="201" t="s">
        <v>311</v>
      </c>
      <c r="D118" s="187"/>
      <c r="E118" s="167"/>
      <c r="F118" s="167"/>
      <c r="G118" s="187"/>
      <c r="H118" s="191"/>
    </row>
    <row r="119" spans="3:8" ht="25.5" x14ac:dyDescent="0.25">
      <c r="C119" s="180"/>
      <c r="D119" s="187" t="s">
        <v>312</v>
      </c>
      <c r="E119" s="187" t="s">
        <v>314</v>
      </c>
      <c r="F119" s="187" t="s">
        <v>315</v>
      </c>
      <c r="G119" s="187" t="s">
        <v>316</v>
      </c>
      <c r="H119" s="191" t="s">
        <v>234</v>
      </c>
    </row>
    <row r="120" spans="3:8" x14ac:dyDescent="0.25">
      <c r="C120" s="180"/>
      <c r="D120" s="187" t="s">
        <v>313</v>
      </c>
      <c r="E120" s="170"/>
      <c r="F120" s="170"/>
      <c r="G120" s="170"/>
      <c r="H120" s="173"/>
    </row>
    <row r="121" spans="3:8" ht="24" x14ac:dyDescent="0.25">
      <c r="C121" s="201" t="s">
        <v>317</v>
      </c>
      <c r="D121" s="187"/>
      <c r="E121" s="187"/>
      <c r="F121" s="187"/>
      <c r="G121" s="187"/>
      <c r="H121" s="191"/>
    </row>
    <row r="122" spans="3:8" x14ac:dyDescent="0.25">
      <c r="C122" s="201">
        <v>75</v>
      </c>
      <c r="D122" s="187"/>
      <c r="E122" s="187"/>
      <c r="F122" s="187"/>
      <c r="G122" s="187"/>
      <c r="H122" s="191"/>
    </row>
    <row r="123" spans="3:8" x14ac:dyDescent="0.25">
      <c r="C123" s="201">
        <v>100</v>
      </c>
      <c r="D123" s="187"/>
      <c r="E123" s="187"/>
      <c r="F123" s="187"/>
      <c r="G123" s="187"/>
      <c r="H123" s="191"/>
    </row>
    <row r="124" spans="3:8" ht="36" x14ac:dyDescent="0.25">
      <c r="C124" s="201">
        <v>150</v>
      </c>
      <c r="D124" s="187">
        <v>110</v>
      </c>
      <c r="E124" s="187" t="s">
        <v>318</v>
      </c>
      <c r="F124" s="187" t="s">
        <v>321</v>
      </c>
      <c r="G124" s="187" t="s">
        <v>322</v>
      </c>
      <c r="H124" s="191" t="s">
        <v>323</v>
      </c>
    </row>
    <row r="125" spans="3:8" ht="25.5" x14ac:dyDescent="0.25">
      <c r="C125" s="180"/>
      <c r="D125" s="187">
        <v>150</v>
      </c>
      <c r="E125" s="187" t="s">
        <v>319</v>
      </c>
      <c r="F125" s="187" t="s">
        <v>232</v>
      </c>
      <c r="G125" s="170"/>
      <c r="H125" s="173"/>
    </row>
    <row r="126" spans="3:8" ht="25.5" x14ac:dyDescent="0.25">
      <c r="C126" s="180"/>
      <c r="D126" s="187">
        <v>225</v>
      </c>
      <c r="E126" s="187" t="s">
        <v>320</v>
      </c>
      <c r="F126" s="170"/>
      <c r="G126" s="170"/>
      <c r="H126" s="173"/>
    </row>
    <row r="127" spans="3:8" ht="36" x14ac:dyDescent="0.25">
      <c r="C127" s="201" t="s">
        <v>324</v>
      </c>
      <c r="D127" s="187"/>
      <c r="E127" s="187"/>
      <c r="F127" s="187"/>
      <c r="G127" s="187"/>
      <c r="H127" s="191"/>
    </row>
    <row r="128" spans="3:8" x14ac:dyDescent="0.25">
      <c r="C128" s="201">
        <v>100</v>
      </c>
      <c r="D128" s="187"/>
      <c r="E128" s="187"/>
      <c r="F128" s="187"/>
      <c r="G128" s="187"/>
      <c r="H128" s="191"/>
    </row>
    <row r="129" spans="3:8" x14ac:dyDescent="0.25">
      <c r="C129" s="201">
        <v>150</v>
      </c>
      <c r="D129" s="187"/>
      <c r="E129" s="187"/>
      <c r="F129" s="187"/>
      <c r="G129" s="187"/>
      <c r="H129" s="191"/>
    </row>
    <row r="130" spans="3:8" ht="15.75" x14ac:dyDescent="0.25">
      <c r="C130" s="201">
        <v>200</v>
      </c>
      <c r="D130" s="187"/>
      <c r="E130" s="187"/>
      <c r="F130" s="187"/>
      <c r="G130" s="167"/>
      <c r="H130" s="191"/>
    </row>
    <row r="131" spans="3:8" ht="25.5" x14ac:dyDescent="0.25">
      <c r="C131" s="180"/>
      <c r="D131" s="187" t="s">
        <v>325</v>
      </c>
      <c r="E131" s="187" t="s">
        <v>328</v>
      </c>
      <c r="F131" s="187" t="s">
        <v>331</v>
      </c>
      <c r="G131" s="187" t="s">
        <v>275</v>
      </c>
      <c r="H131" s="191" t="s">
        <v>234</v>
      </c>
    </row>
    <row r="132" spans="3:8" ht="25.5" x14ac:dyDescent="0.25">
      <c r="C132" s="180"/>
      <c r="D132" s="187" t="s">
        <v>326</v>
      </c>
      <c r="E132" s="187" t="s">
        <v>329</v>
      </c>
      <c r="F132" s="187" t="s">
        <v>332</v>
      </c>
      <c r="G132" s="170"/>
      <c r="H132" s="173"/>
    </row>
    <row r="133" spans="3:8" ht="25.5" x14ac:dyDescent="0.25">
      <c r="C133" s="180"/>
      <c r="D133" s="187" t="s">
        <v>327</v>
      </c>
      <c r="E133" s="187" t="s">
        <v>330</v>
      </c>
      <c r="F133" s="187" t="s">
        <v>333</v>
      </c>
      <c r="G133" s="170"/>
      <c r="H133" s="173"/>
    </row>
    <row r="134" spans="3:8" ht="24" x14ac:dyDescent="0.25">
      <c r="C134" s="201" t="s">
        <v>334</v>
      </c>
      <c r="D134" s="187"/>
      <c r="E134" s="187"/>
      <c r="F134" s="187"/>
      <c r="G134" s="187"/>
      <c r="H134" s="191"/>
    </row>
    <row r="135" spans="3:8" ht="15.75" x14ac:dyDescent="0.25">
      <c r="C135" s="201">
        <v>20</v>
      </c>
      <c r="D135" s="187"/>
      <c r="E135" s="187"/>
      <c r="F135" s="187"/>
      <c r="G135" s="167"/>
      <c r="H135" s="191"/>
    </row>
    <row r="136" spans="3:8" ht="24" x14ac:dyDescent="0.25">
      <c r="C136" s="201">
        <v>25</v>
      </c>
      <c r="D136" s="187">
        <v>20</v>
      </c>
      <c r="E136" s="187" t="s">
        <v>232</v>
      </c>
      <c r="F136" s="187" t="s">
        <v>336</v>
      </c>
      <c r="G136" s="187" t="s">
        <v>339</v>
      </c>
      <c r="H136" s="191"/>
    </row>
    <row r="137" spans="3:8" ht="24" x14ac:dyDescent="0.25">
      <c r="C137" s="201" t="s">
        <v>335</v>
      </c>
      <c r="D137" s="187">
        <v>25</v>
      </c>
      <c r="E137" s="187" t="s">
        <v>232</v>
      </c>
      <c r="F137" s="187" t="s">
        <v>337</v>
      </c>
      <c r="G137" s="170"/>
      <c r="H137" s="191" t="s">
        <v>340</v>
      </c>
    </row>
    <row r="138" spans="3:8" ht="24.75" thickBot="1" x14ac:dyDescent="0.3">
      <c r="C138" s="179"/>
      <c r="D138" s="197" t="s">
        <v>335</v>
      </c>
      <c r="E138" s="197" t="s">
        <v>232</v>
      </c>
      <c r="F138" s="197" t="s">
        <v>338</v>
      </c>
      <c r="G138" s="171"/>
      <c r="H138" s="174"/>
    </row>
    <row r="139" spans="3:8" ht="15.75" thickBot="1" x14ac:dyDescent="0.3">
      <c r="C139" s="185"/>
    </row>
    <row r="140" spans="3:8" ht="46.5" customHeight="1" x14ac:dyDescent="0.25">
      <c r="C140" s="485" t="s">
        <v>210</v>
      </c>
      <c r="D140" s="482" t="s">
        <v>211</v>
      </c>
      <c r="E140" s="482" t="s">
        <v>212</v>
      </c>
      <c r="F140" s="482"/>
      <c r="G140" s="482" t="s">
        <v>270</v>
      </c>
      <c r="H140" s="484" t="s">
        <v>214</v>
      </c>
    </row>
    <row r="141" spans="3:8" x14ac:dyDescent="0.25">
      <c r="C141" s="486"/>
      <c r="D141" s="483"/>
      <c r="E141" s="483"/>
      <c r="F141" s="483"/>
      <c r="G141" s="483"/>
      <c r="H141" s="479"/>
    </row>
    <row r="142" spans="3:8" ht="24" customHeight="1" x14ac:dyDescent="0.25">
      <c r="C142" s="203"/>
      <c r="D142" s="187"/>
      <c r="E142" s="490" t="s">
        <v>215</v>
      </c>
      <c r="F142" s="490"/>
      <c r="G142" s="187"/>
      <c r="H142" s="191"/>
    </row>
    <row r="143" spans="3:8" x14ac:dyDescent="0.25">
      <c r="C143" s="203"/>
      <c r="D143" s="187"/>
      <c r="E143" s="187" t="s">
        <v>216</v>
      </c>
      <c r="F143" s="187" t="s">
        <v>217</v>
      </c>
      <c r="G143" s="187"/>
      <c r="H143" s="191"/>
    </row>
    <row r="144" spans="3:8" ht="24" x14ac:dyDescent="0.25">
      <c r="C144" s="201" t="s">
        <v>341</v>
      </c>
      <c r="D144" s="187"/>
      <c r="E144" s="187"/>
      <c r="F144" s="187"/>
      <c r="G144" s="187"/>
      <c r="H144" s="191"/>
    </row>
    <row r="145" spans="3:8" x14ac:dyDescent="0.25">
      <c r="C145" s="201" t="s">
        <v>342</v>
      </c>
      <c r="D145" s="187"/>
      <c r="E145" s="187"/>
      <c r="F145" s="187"/>
      <c r="G145" s="187"/>
      <c r="H145" s="191"/>
    </row>
    <row r="146" spans="3:8" ht="24" x14ac:dyDescent="0.25">
      <c r="C146" s="201" t="s">
        <v>343</v>
      </c>
      <c r="D146" s="187">
        <v>40</v>
      </c>
      <c r="E146" s="187" t="s">
        <v>232</v>
      </c>
      <c r="F146" s="187" t="s">
        <v>345</v>
      </c>
      <c r="G146" s="187" t="s">
        <v>347</v>
      </c>
      <c r="H146" s="191" t="s">
        <v>348</v>
      </c>
    </row>
    <row r="147" spans="3:8" ht="24" x14ac:dyDescent="0.25">
      <c r="C147" s="201" t="s">
        <v>344</v>
      </c>
      <c r="D147" s="187">
        <v>60</v>
      </c>
      <c r="E147" s="187" t="s">
        <v>232</v>
      </c>
      <c r="F147" s="187" t="s">
        <v>346</v>
      </c>
      <c r="G147" s="170"/>
      <c r="H147" s="173"/>
    </row>
    <row r="148" spans="3:8" ht="24" x14ac:dyDescent="0.25">
      <c r="C148" s="180"/>
      <c r="D148" s="187">
        <v>65</v>
      </c>
      <c r="E148" s="187" t="s">
        <v>232</v>
      </c>
      <c r="F148" s="187" t="s">
        <v>346</v>
      </c>
      <c r="G148" s="170"/>
      <c r="H148" s="173"/>
    </row>
    <row r="149" spans="3:8" ht="24" x14ac:dyDescent="0.25">
      <c r="C149" s="201" t="s">
        <v>349</v>
      </c>
      <c r="D149" s="187"/>
      <c r="E149" s="187"/>
      <c r="F149" s="187"/>
      <c r="G149" s="187"/>
      <c r="H149" s="191"/>
    </row>
    <row r="150" spans="3:8" x14ac:dyDescent="0.25">
      <c r="C150" s="201" t="s">
        <v>350</v>
      </c>
      <c r="D150" s="187"/>
      <c r="E150" s="187"/>
      <c r="F150" s="187"/>
      <c r="G150" s="187"/>
      <c r="H150" s="191"/>
    </row>
    <row r="151" spans="3:8" x14ac:dyDescent="0.25">
      <c r="C151" s="201" t="s">
        <v>351</v>
      </c>
      <c r="D151" s="187"/>
      <c r="E151" s="187"/>
      <c r="F151" s="187"/>
      <c r="G151" s="187"/>
      <c r="H151" s="191"/>
    </row>
    <row r="152" spans="3:8" ht="24" x14ac:dyDescent="0.25">
      <c r="C152" s="201" t="s">
        <v>352</v>
      </c>
      <c r="D152" s="187">
        <v>85</v>
      </c>
      <c r="E152" s="187" t="s">
        <v>232</v>
      </c>
      <c r="F152" s="187" t="s">
        <v>353</v>
      </c>
      <c r="G152" s="187" t="s">
        <v>347</v>
      </c>
      <c r="H152" s="191" t="s">
        <v>348</v>
      </c>
    </row>
    <row r="153" spans="3:8" ht="24" x14ac:dyDescent="0.25">
      <c r="C153" s="180"/>
      <c r="D153" s="187">
        <v>115</v>
      </c>
      <c r="E153" s="187" t="s">
        <v>232</v>
      </c>
      <c r="F153" s="187" t="s">
        <v>354</v>
      </c>
      <c r="G153" s="170"/>
      <c r="H153" s="173"/>
    </row>
    <row r="154" spans="3:8" ht="24" x14ac:dyDescent="0.25">
      <c r="C154" s="180"/>
      <c r="D154" s="187">
        <v>150</v>
      </c>
      <c r="E154" s="187" t="s">
        <v>232</v>
      </c>
      <c r="F154" s="187" t="s">
        <v>355</v>
      </c>
      <c r="G154" s="170"/>
      <c r="H154" s="173"/>
    </row>
    <row r="155" spans="3:8" ht="24" x14ac:dyDescent="0.25">
      <c r="C155" s="201" t="s">
        <v>356</v>
      </c>
      <c r="D155" s="187" t="s">
        <v>357</v>
      </c>
      <c r="E155" s="187" t="s">
        <v>232</v>
      </c>
      <c r="F155" s="187" t="s">
        <v>354</v>
      </c>
      <c r="G155" s="187" t="s">
        <v>347</v>
      </c>
      <c r="H155" s="191" t="s">
        <v>348</v>
      </c>
    </row>
    <row r="156" spans="3:8" ht="24" x14ac:dyDescent="0.25">
      <c r="C156" s="201" t="s">
        <v>358</v>
      </c>
      <c r="D156" s="187">
        <v>150</v>
      </c>
      <c r="E156" s="187" t="s">
        <v>232</v>
      </c>
      <c r="F156" s="187" t="s">
        <v>359</v>
      </c>
      <c r="G156" s="187" t="s">
        <v>347</v>
      </c>
      <c r="H156" s="191" t="s">
        <v>348</v>
      </c>
    </row>
    <row r="157" spans="3:8" ht="24" x14ac:dyDescent="0.25">
      <c r="C157" s="201" t="s">
        <v>360</v>
      </c>
      <c r="D157" s="187"/>
      <c r="E157" s="187"/>
      <c r="F157" s="187"/>
      <c r="G157" s="187"/>
      <c r="H157" s="191"/>
    </row>
    <row r="158" spans="3:8" x14ac:dyDescent="0.25">
      <c r="C158" s="201" t="s">
        <v>361</v>
      </c>
      <c r="D158" s="187"/>
      <c r="E158" s="187"/>
      <c r="F158" s="187"/>
      <c r="G158" s="187"/>
      <c r="H158" s="191"/>
    </row>
    <row r="159" spans="3:8" x14ac:dyDescent="0.25">
      <c r="C159" s="201" t="s">
        <v>362</v>
      </c>
      <c r="D159" s="187"/>
      <c r="E159" s="187"/>
      <c r="F159" s="187"/>
      <c r="G159" s="187"/>
      <c r="H159" s="191"/>
    </row>
    <row r="160" spans="3:8" ht="24" x14ac:dyDescent="0.25">
      <c r="C160" s="180"/>
      <c r="D160" s="187"/>
      <c r="E160" s="187"/>
      <c r="F160" s="187"/>
      <c r="G160" s="187" t="s">
        <v>365</v>
      </c>
      <c r="H160" s="191"/>
    </row>
    <row r="161" spans="3:8" ht="24" x14ac:dyDescent="0.25">
      <c r="C161" s="180"/>
      <c r="D161" s="187" t="s">
        <v>363</v>
      </c>
      <c r="E161" s="187" t="s">
        <v>232</v>
      </c>
      <c r="F161" s="187" t="s">
        <v>364</v>
      </c>
      <c r="G161" s="187" t="s">
        <v>366</v>
      </c>
      <c r="H161" s="191" t="s">
        <v>348</v>
      </c>
    </row>
    <row r="162" spans="3:8" ht="24" x14ac:dyDescent="0.25">
      <c r="C162" s="180"/>
      <c r="D162" s="187" t="s">
        <v>363</v>
      </c>
      <c r="E162" s="187" t="s">
        <v>232</v>
      </c>
      <c r="F162" s="187" t="s">
        <v>364</v>
      </c>
      <c r="G162" s="170"/>
      <c r="H162" s="191" t="s">
        <v>367</v>
      </c>
    </row>
    <row r="163" spans="3:8" ht="24" x14ac:dyDescent="0.25">
      <c r="C163" s="491" t="s">
        <v>368</v>
      </c>
      <c r="D163" s="187" t="s">
        <v>369</v>
      </c>
      <c r="E163" s="187" t="s">
        <v>232</v>
      </c>
      <c r="F163" s="187" t="s">
        <v>370</v>
      </c>
      <c r="G163" s="490" t="s">
        <v>372</v>
      </c>
      <c r="H163" s="479" t="s">
        <v>348</v>
      </c>
    </row>
    <row r="164" spans="3:8" ht="24" x14ac:dyDescent="0.25">
      <c r="C164" s="491"/>
      <c r="D164" s="187" t="s">
        <v>272</v>
      </c>
      <c r="E164" s="187" t="s">
        <v>232</v>
      </c>
      <c r="F164" s="187" t="s">
        <v>371</v>
      </c>
      <c r="G164" s="490"/>
      <c r="H164" s="479"/>
    </row>
    <row r="165" spans="3:8" ht="24" x14ac:dyDescent="0.25">
      <c r="C165" s="201" t="s">
        <v>373</v>
      </c>
      <c r="D165" s="187" t="s">
        <v>374</v>
      </c>
      <c r="E165" s="187" t="s">
        <v>232</v>
      </c>
      <c r="F165" s="187" t="s">
        <v>375</v>
      </c>
      <c r="G165" s="187" t="s">
        <v>376</v>
      </c>
      <c r="H165" s="191" t="s">
        <v>348</v>
      </c>
    </row>
    <row r="166" spans="3:8" ht="36" x14ac:dyDescent="0.25">
      <c r="C166" s="201" t="s">
        <v>377</v>
      </c>
      <c r="D166" s="187">
        <v>140</v>
      </c>
      <c r="E166" s="187" t="s">
        <v>314</v>
      </c>
      <c r="F166" s="187" t="s">
        <v>315</v>
      </c>
      <c r="G166" s="187" t="s">
        <v>316</v>
      </c>
      <c r="H166" s="191" t="s">
        <v>378</v>
      </c>
    </row>
    <row r="167" spans="3:8" ht="24" x14ac:dyDescent="0.25">
      <c r="C167" s="201" t="s">
        <v>379</v>
      </c>
      <c r="D167" s="187" t="s">
        <v>380</v>
      </c>
      <c r="E167" s="187" t="s">
        <v>232</v>
      </c>
      <c r="F167" s="187" t="s">
        <v>381</v>
      </c>
      <c r="G167" s="187" t="s">
        <v>382</v>
      </c>
      <c r="H167" s="191" t="s">
        <v>323</v>
      </c>
    </row>
    <row r="168" spans="3:8" x14ac:dyDescent="0.25">
      <c r="C168" s="201" t="s">
        <v>383</v>
      </c>
      <c r="D168" s="187"/>
      <c r="E168" s="187"/>
      <c r="F168" s="187"/>
      <c r="G168" s="187"/>
      <c r="H168" s="191"/>
    </row>
    <row r="169" spans="3:8" x14ac:dyDescent="0.25">
      <c r="C169" s="201" t="s">
        <v>384</v>
      </c>
      <c r="D169" s="187"/>
      <c r="E169" s="187"/>
      <c r="F169" s="187"/>
      <c r="G169" s="187"/>
      <c r="H169" s="191"/>
    </row>
    <row r="170" spans="3:8" ht="25.5" x14ac:dyDescent="0.25">
      <c r="C170" s="201" t="s">
        <v>385</v>
      </c>
      <c r="D170" s="187" t="s">
        <v>386</v>
      </c>
      <c r="E170" s="187" t="s">
        <v>388</v>
      </c>
      <c r="F170" s="187" t="s">
        <v>232</v>
      </c>
      <c r="G170" s="187" t="s">
        <v>390</v>
      </c>
      <c r="H170" s="191" t="s">
        <v>367</v>
      </c>
    </row>
    <row r="171" spans="3:8" ht="25.5" x14ac:dyDescent="0.25">
      <c r="C171" s="180"/>
      <c r="D171" s="187" t="s">
        <v>387</v>
      </c>
      <c r="E171" s="187" t="s">
        <v>389</v>
      </c>
      <c r="F171" s="187" t="s">
        <v>232</v>
      </c>
      <c r="G171" s="187" t="s">
        <v>391</v>
      </c>
      <c r="H171" s="191" t="s">
        <v>323</v>
      </c>
    </row>
    <row r="172" spans="3:8" ht="48" customHeight="1" x14ac:dyDescent="0.25">
      <c r="C172" s="201" t="s">
        <v>392</v>
      </c>
      <c r="D172" s="187"/>
      <c r="E172" s="187"/>
      <c r="F172" s="187"/>
      <c r="G172" s="490" t="s">
        <v>396</v>
      </c>
      <c r="H172" s="479" t="s">
        <v>397</v>
      </c>
    </row>
    <row r="173" spans="3:8" x14ac:dyDescent="0.25">
      <c r="C173" s="201">
        <v>200</v>
      </c>
      <c r="D173" s="187"/>
      <c r="E173" s="187"/>
      <c r="F173" s="187"/>
      <c r="G173" s="490"/>
      <c r="H173" s="479"/>
    </row>
    <row r="174" spans="3:8" x14ac:dyDescent="0.25">
      <c r="C174" s="201">
        <v>250</v>
      </c>
      <c r="D174" s="187"/>
      <c r="E174" s="187"/>
      <c r="F174" s="187"/>
      <c r="G174" s="490"/>
      <c r="H174" s="479"/>
    </row>
    <row r="175" spans="3:8" x14ac:dyDescent="0.25">
      <c r="C175" s="180"/>
      <c r="D175" s="187"/>
      <c r="E175" s="187"/>
      <c r="F175" s="187"/>
      <c r="G175" s="490"/>
      <c r="H175" s="479"/>
    </row>
    <row r="176" spans="3:8" ht="25.5" x14ac:dyDescent="0.25">
      <c r="C176" s="180"/>
      <c r="D176" s="187">
        <v>200</v>
      </c>
      <c r="E176" s="187" t="s">
        <v>393</v>
      </c>
      <c r="F176" s="187" t="s">
        <v>395</v>
      </c>
      <c r="G176" s="490"/>
      <c r="H176" s="479"/>
    </row>
    <row r="177" spans="3:8" ht="25.5" x14ac:dyDescent="0.25">
      <c r="C177" s="180"/>
      <c r="D177" s="187">
        <v>250</v>
      </c>
      <c r="E177" s="187" t="s">
        <v>394</v>
      </c>
      <c r="F177" s="187" t="s">
        <v>232</v>
      </c>
      <c r="G177" s="490"/>
      <c r="H177" s="479"/>
    </row>
    <row r="178" spans="3:8" ht="48.75" thickBot="1" x14ac:dyDescent="0.3">
      <c r="C178" s="204" t="s">
        <v>398</v>
      </c>
      <c r="D178" s="197" t="s">
        <v>251</v>
      </c>
      <c r="E178" s="197" t="s">
        <v>399</v>
      </c>
      <c r="F178" s="197">
        <v>0.04</v>
      </c>
      <c r="G178" s="197" t="s">
        <v>400</v>
      </c>
      <c r="H178" s="198" t="s">
        <v>234</v>
      </c>
    </row>
    <row r="179" spans="3:8" ht="24" x14ac:dyDescent="0.25">
      <c r="C179" s="205" t="s">
        <v>401</v>
      </c>
    </row>
    <row r="180" spans="3:8" ht="45" x14ac:dyDescent="0.25">
      <c r="C180" s="205" t="s">
        <v>402</v>
      </c>
    </row>
    <row r="181" spans="3:8" ht="24" x14ac:dyDescent="0.25">
      <c r="C181" s="205" t="s">
        <v>403</v>
      </c>
    </row>
    <row r="182" spans="3:8" ht="101.25" x14ac:dyDescent="0.25">
      <c r="C182" s="205" t="s">
        <v>404</v>
      </c>
    </row>
    <row r="183" spans="3:8" ht="45" x14ac:dyDescent="0.25">
      <c r="C183" s="205" t="s">
        <v>405</v>
      </c>
    </row>
    <row r="184" spans="3:8" ht="33.75" x14ac:dyDescent="0.25">
      <c r="C184" s="205" t="s">
        <v>406</v>
      </c>
    </row>
    <row r="187" spans="3:8" x14ac:dyDescent="0.25">
      <c r="C187" s="218" t="s">
        <v>408</v>
      </c>
    </row>
    <row r="188" spans="3:8" x14ac:dyDescent="0.25">
      <c r="C188" s="219" t="s">
        <v>409</v>
      </c>
    </row>
    <row r="189" spans="3:8" x14ac:dyDescent="0.25">
      <c r="C189" s="220"/>
    </row>
    <row r="190" spans="3:8" ht="51" x14ac:dyDescent="0.25">
      <c r="C190" s="226" t="s">
        <v>410</v>
      </c>
    </row>
    <row r="191" spans="3:8" ht="15.75" thickBot="1" x14ac:dyDescent="0.3">
      <c r="C191" s="221"/>
    </row>
    <row r="192" spans="3:8" ht="15.75" thickBot="1" x14ac:dyDescent="0.3">
      <c r="C192" s="492" t="s">
        <v>411</v>
      </c>
      <c r="D192" s="495" t="s">
        <v>412</v>
      </c>
      <c r="E192" s="496"/>
      <c r="F192" s="496"/>
      <c r="G192" s="497"/>
    </row>
    <row r="193" spans="3:7" ht="26.25" thickBot="1" x14ac:dyDescent="0.3">
      <c r="C193" s="493"/>
      <c r="D193" s="222" t="s">
        <v>413</v>
      </c>
      <c r="E193" s="222" t="s">
        <v>414</v>
      </c>
      <c r="F193" s="495" t="s">
        <v>415</v>
      </c>
      <c r="G193" s="497"/>
    </row>
    <row r="194" spans="3:7" ht="25.5" customHeight="1" thickBot="1" x14ac:dyDescent="0.3">
      <c r="C194" s="493"/>
      <c r="D194" s="495" t="s">
        <v>416</v>
      </c>
      <c r="E194" s="496"/>
      <c r="F194" s="496"/>
      <c r="G194" s="497"/>
    </row>
    <row r="195" spans="3:7" ht="39" thickBot="1" x14ac:dyDescent="0.3">
      <c r="C195" s="494"/>
      <c r="D195" s="222" t="s">
        <v>417</v>
      </c>
      <c r="E195" s="222" t="s">
        <v>417</v>
      </c>
      <c r="F195" s="222" t="s">
        <v>418</v>
      </c>
      <c r="G195" s="223" t="s">
        <v>419</v>
      </c>
    </row>
    <row r="196" spans="3:7" ht="15.75" thickBot="1" x14ac:dyDescent="0.3">
      <c r="C196" s="224">
        <v>18</v>
      </c>
      <c r="D196" s="224">
        <v>80</v>
      </c>
      <c r="E196" s="224">
        <v>80</v>
      </c>
      <c r="F196" s="224">
        <v>50</v>
      </c>
      <c r="G196" s="225">
        <v>60</v>
      </c>
    </row>
    <row r="197" spans="3:7" ht="15.75" thickBot="1" x14ac:dyDescent="0.3">
      <c r="C197" s="224">
        <v>25</v>
      </c>
      <c r="D197" s="224">
        <v>120</v>
      </c>
      <c r="E197" s="224">
        <v>100</v>
      </c>
      <c r="F197" s="224">
        <v>60</v>
      </c>
      <c r="G197" s="225">
        <v>80</v>
      </c>
    </row>
    <row r="198" spans="3:7" ht="15.75" thickBot="1" x14ac:dyDescent="0.3">
      <c r="C198" s="224">
        <v>32</v>
      </c>
      <c r="D198" s="224">
        <v>140</v>
      </c>
      <c r="E198" s="224">
        <v>100</v>
      </c>
      <c r="F198" s="224">
        <v>80</v>
      </c>
      <c r="G198" s="225">
        <v>100</v>
      </c>
    </row>
    <row r="199" spans="3:7" ht="15.75" thickBot="1" x14ac:dyDescent="0.3">
      <c r="C199" s="224">
        <v>45</v>
      </c>
      <c r="D199" s="224">
        <v>140</v>
      </c>
      <c r="E199" s="224">
        <v>100</v>
      </c>
      <c r="F199" s="224">
        <v>80</v>
      </c>
      <c r="G199" s="225">
        <v>100</v>
      </c>
    </row>
    <row r="200" spans="3:7" ht="15.75" thickBot="1" x14ac:dyDescent="0.3">
      <c r="C200" s="224">
        <v>57</v>
      </c>
      <c r="D200" s="224">
        <v>150</v>
      </c>
      <c r="E200" s="224">
        <v>120</v>
      </c>
      <c r="F200" s="224">
        <v>90</v>
      </c>
      <c r="G200" s="225">
        <v>120</v>
      </c>
    </row>
    <row r="201" spans="3:7" ht="15.75" thickBot="1" x14ac:dyDescent="0.3">
      <c r="C201" s="224">
        <v>76</v>
      </c>
      <c r="D201" s="224">
        <v>160</v>
      </c>
      <c r="E201" s="224">
        <v>140</v>
      </c>
      <c r="F201" s="224">
        <v>90</v>
      </c>
      <c r="G201" s="225">
        <v>140</v>
      </c>
    </row>
    <row r="202" spans="3:7" ht="15.75" thickBot="1" x14ac:dyDescent="0.3">
      <c r="C202" s="224">
        <v>89</v>
      </c>
      <c r="D202" s="224">
        <v>170</v>
      </c>
      <c r="E202" s="224">
        <v>160</v>
      </c>
      <c r="F202" s="224">
        <v>100</v>
      </c>
      <c r="G202" s="225">
        <v>140</v>
      </c>
    </row>
    <row r="203" spans="3:7" ht="15.75" thickBot="1" x14ac:dyDescent="0.3">
      <c r="C203" s="224">
        <v>108</v>
      </c>
      <c r="D203" s="224">
        <v>180</v>
      </c>
      <c r="E203" s="224">
        <v>160</v>
      </c>
      <c r="F203" s="224">
        <v>100</v>
      </c>
      <c r="G203" s="225">
        <v>160</v>
      </c>
    </row>
    <row r="204" spans="3:7" ht="15.75" thickBot="1" x14ac:dyDescent="0.3">
      <c r="C204" s="224">
        <v>133</v>
      </c>
      <c r="D204" s="224">
        <v>200</v>
      </c>
      <c r="E204" s="224">
        <v>160</v>
      </c>
      <c r="F204" s="224">
        <v>100</v>
      </c>
      <c r="G204" s="225">
        <v>160</v>
      </c>
    </row>
    <row r="205" spans="3:7" ht="15.75" thickBot="1" x14ac:dyDescent="0.3">
      <c r="C205" s="224">
        <v>159</v>
      </c>
      <c r="D205" s="224">
        <v>220</v>
      </c>
      <c r="E205" s="224">
        <v>160</v>
      </c>
      <c r="F205" s="224">
        <v>120</v>
      </c>
      <c r="G205" s="225">
        <v>180</v>
      </c>
    </row>
    <row r="206" spans="3:7" ht="15.75" thickBot="1" x14ac:dyDescent="0.3">
      <c r="C206" s="224">
        <v>219</v>
      </c>
      <c r="D206" s="224">
        <v>230</v>
      </c>
      <c r="E206" s="224">
        <v>180</v>
      </c>
      <c r="F206" s="224">
        <v>120</v>
      </c>
      <c r="G206" s="225">
        <v>200</v>
      </c>
    </row>
    <row r="207" spans="3:7" ht="15.75" thickBot="1" x14ac:dyDescent="0.3">
      <c r="C207" s="224">
        <v>273</v>
      </c>
      <c r="D207" s="224">
        <v>230</v>
      </c>
      <c r="E207" s="224">
        <v>180</v>
      </c>
      <c r="F207" s="224">
        <v>120</v>
      </c>
      <c r="G207" s="225">
        <v>200</v>
      </c>
    </row>
    <row r="208" spans="3:7" ht="15.75" thickBot="1" x14ac:dyDescent="0.3">
      <c r="C208" s="224">
        <v>325</v>
      </c>
      <c r="D208" s="224">
        <v>240</v>
      </c>
      <c r="E208" s="224">
        <v>200</v>
      </c>
      <c r="F208" s="224">
        <v>120</v>
      </c>
      <c r="G208" s="225">
        <v>200</v>
      </c>
    </row>
    <row r="209" spans="3:7" ht="15.75" thickBot="1" x14ac:dyDescent="0.3">
      <c r="C209" s="224">
        <v>377</v>
      </c>
      <c r="D209" s="224">
        <v>240</v>
      </c>
      <c r="E209" s="224">
        <v>200</v>
      </c>
      <c r="F209" s="224">
        <v>120</v>
      </c>
      <c r="G209" s="225">
        <v>200</v>
      </c>
    </row>
    <row r="210" spans="3:7" ht="15.75" thickBot="1" x14ac:dyDescent="0.3">
      <c r="C210" s="224">
        <v>426</v>
      </c>
      <c r="D210" s="224">
        <v>250</v>
      </c>
      <c r="E210" s="224">
        <v>220</v>
      </c>
      <c r="F210" s="224">
        <v>140</v>
      </c>
      <c r="G210" s="225">
        <v>220</v>
      </c>
    </row>
    <row r="211" spans="3:7" ht="15.75" thickBot="1" x14ac:dyDescent="0.3">
      <c r="C211" s="224">
        <v>476</v>
      </c>
      <c r="D211" s="224">
        <v>250</v>
      </c>
      <c r="E211" s="224">
        <v>220</v>
      </c>
      <c r="F211" s="224">
        <v>140</v>
      </c>
      <c r="G211" s="225">
        <v>220</v>
      </c>
    </row>
    <row r="212" spans="3:7" ht="15.75" thickBot="1" x14ac:dyDescent="0.3">
      <c r="C212" s="224">
        <v>530</v>
      </c>
      <c r="D212" s="224">
        <v>260</v>
      </c>
      <c r="E212" s="224">
        <v>220</v>
      </c>
      <c r="F212" s="224">
        <v>140</v>
      </c>
      <c r="G212" s="225">
        <v>220</v>
      </c>
    </row>
    <row r="213" spans="3:7" ht="15.75" thickBot="1" x14ac:dyDescent="0.3">
      <c r="C213" s="224">
        <v>630</v>
      </c>
      <c r="D213" s="224">
        <v>280</v>
      </c>
      <c r="E213" s="224">
        <v>240</v>
      </c>
      <c r="F213" s="224">
        <v>140</v>
      </c>
      <c r="G213" s="225">
        <v>220</v>
      </c>
    </row>
    <row r="214" spans="3:7" ht="15.75" thickBot="1" x14ac:dyDescent="0.3">
      <c r="C214" s="224">
        <v>720</v>
      </c>
      <c r="D214" s="224">
        <v>280</v>
      </c>
      <c r="E214" s="224">
        <v>240</v>
      </c>
      <c r="F214" s="224">
        <v>140</v>
      </c>
      <c r="G214" s="225">
        <v>220</v>
      </c>
    </row>
    <row r="215" spans="3:7" ht="15.75" thickBot="1" x14ac:dyDescent="0.3">
      <c r="C215" s="224">
        <v>820</v>
      </c>
      <c r="D215" s="224">
        <v>300</v>
      </c>
      <c r="E215" s="224">
        <v>240</v>
      </c>
      <c r="F215" s="224">
        <v>140</v>
      </c>
      <c r="G215" s="225">
        <v>220</v>
      </c>
    </row>
    <row r="216" spans="3:7" ht="15.75" thickBot="1" x14ac:dyDescent="0.3">
      <c r="C216" s="224">
        <v>920</v>
      </c>
      <c r="D216" s="224">
        <v>300</v>
      </c>
      <c r="E216" s="224">
        <v>260</v>
      </c>
      <c r="F216" s="224">
        <v>140</v>
      </c>
      <c r="G216" s="225">
        <v>220</v>
      </c>
    </row>
    <row r="217" spans="3:7" ht="15.75" thickBot="1" x14ac:dyDescent="0.3">
      <c r="C217" s="224" t="s">
        <v>420</v>
      </c>
      <c r="D217" s="224">
        <v>320</v>
      </c>
      <c r="E217" s="224">
        <v>260</v>
      </c>
      <c r="F217" s="224">
        <v>140</v>
      </c>
      <c r="G217" s="225">
        <v>220</v>
      </c>
    </row>
    <row r="218" spans="3:7" ht="36" customHeight="1" thickBot="1" x14ac:dyDescent="0.3">
      <c r="C218" s="487" t="s">
        <v>421</v>
      </c>
      <c r="D218" s="488"/>
      <c r="E218" s="488"/>
      <c r="F218" s="488"/>
      <c r="G218" s="489"/>
    </row>
  </sheetData>
  <mergeCells count="202">
    <mergeCell ref="F38:G38"/>
    <mergeCell ref="I38:J38"/>
    <mergeCell ref="F36:G36"/>
    <mergeCell ref="C2:M2"/>
    <mergeCell ref="C1:M1"/>
    <mergeCell ref="C20:C21"/>
    <mergeCell ref="D20:F20"/>
    <mergeCell ref="C18:F18"/>
    <mergeCell ref="D3:F3"/>
    <mergeCell ref="G3:H3"/>
    <mergeCell ref="G4:H4"/>
    <mergeCell ref="G5:H5"/>
    <mergeCell ref="K4:L4"/>
    <mergeCell ref="K13:K14"/>
    <mergeCell ref="L13:L14"/>
    <mergeCell ref="K7:L7"/>
    <mergeCell ref="I7:J7"/>
    <mergeCell ref="D13:D14"/>
    <mergeCell ref="E13:E14"/>
    <mergeCell ref="F13:F14"/>
    <mergeCell ref="H13:H14"/>
    <mergeCell ref="I13:I14"/>
    <mergeCell ref="G13:G14"/>
    <mergeCell ref="K5:L5"/>
    <mergeCell ref="F33:G33"/>
    <mergeCell ref="B11:M11"/>
    <mergeCell ref="B3:B8"/>
    <mergeCell ref="B13:B14"/>
    <mergeCell ref="I5:J5"/>
    <mergeCell ref="I6:J6"/>
    <mergeCell ref="M13:M14"/>
    <mergeCell ref="J13:J14"/>
    <mergeCell ref="G7:H7"/>
    <mergeCell ref="K6:L6"/>
    <mergeCell ref="I3:M3"/>
    <mergeCell ref="I4:J4"/>
    <mergeCell ref="D30:E30"/>
    <mergeCell ref="F30:H30"/>
    <mergeCell ref="I30:J30"/>
    <mergeCell ref="C3:C8"/>
    <mergeCell ref="C27:F27"/>
    <mergeCell ref="D29:E29"/>
    <mergeCell ref="F29:H29"/>
    <mergeCell ref="I29:J29"/>
    <mergeCell ref="G6:H6"/>
    <mergeCell ref="F37:G37"/>
    <mergeCell ref="F39:G39"/>
    <mergeCell ref="F40:G40"/>
    <mergeCell ref="I35:J35"/>
    <mergeCell ref="I31:J31"/>
    <mergeCell ref="D32:E32"/>
    <mergeCell ref="D33:E33"/>
    <mergeCell ref="D34:E34"/>
    <mergeCell ref="F34:G34"/>
    <mergeCell ref="I32:J32"/>
    <mergeCell ref="I33:J33"/>
    <mergeCell ref="D39:E39"/>
    <mergeCell ref="D40:E40"/>
    <mergeCell ref="F35:G35"/>
    <mergeCell ref="D35:E35"/>
    <mergeCell ref="D36:E36"/>
    <mergeCell ref="D31:E31"/>
    <mergeCell ref="F31:G31"/>
    <mergeCell ref="I36:J36"/>
    <mergeCell ref="I37:J37"/>
    <mergeCell ref="D37:E37"/>
    <mergeCell ref="D38:E38"/>
    <mergeCell ref="I34:J34"/>
    <mergeCell ref="F32:G32"/>
    <mergeCell ref="F49:G49"/>
    <mergeCell ref="F50:G50"/>
    <mergeCell ref="D45:E45"/>
    <mergeCell ref="D46:E46"/>
    <mergeCell ref="D49:E49"/>
    <mergeCell ref="D50:E50"/>
    <mergeCell ref="I39:J39"/>
    <mergeCell ref="I40:J40"/>
    <mergeCell ref="I41:J41"/>
    <mergeCell ref="I42:J42"/>
    <mergeCell ref="I43:J43"/>
    <mergeCell ref="I44:J44"/>
    <mergeCell ref="I50:J50"/>
    <mergeCell ref="F42:G42"/>
    <mergeCell ref="F43:G43"/>
    <mergeCell ref="D47:E47"/>
    <mergeCell ref="D48:E48"/>
    <mergeCell ref="F44:G44"/>
    <mergeCell ref="D44:E44"/>
    <mergeCell ref="D41:E41"/>
    <mergeCell ref="D42:E42"/>
    <mergeCell ref="D43:E43"/>
    <mergeCell ref="F41:G41"/>
    <mergeCell ref="I58:J58"/>
    <mergeCell ref="I59:J59"/>
    <mergeCell ref="F54:G54"/>
    <mergeCell ref="F55:G55"/>
    <mergeCell ref="D52:E52"/>
    <mergeCell ref="D53:E53"/>
    <mergeCell ref="D54:E54"/>
    <mergeCell ref="D55:E55"/>
    <mergeCell ref="I45:J45"/>
    <mergeCell ref="I46:J46"/>
    <mergeCell ref="I47:J47"/>
    <mergeCell ref="I48:J48"/>
    <mergeCell ref="I49:J49"/>
    <mergeCell ref="I51:J51"/>
    <mergeCell ref="F51:G51"/>
    <mergeCell ref="F52:G52"/>
    <mergeCell ref="F53:G53"/>
    <mergeCell ref="I52:J52"/>
    <mergeCell ref="I53:J53"/>
    <mergeCell ref="D51:E51"/>
    <mergeCell ref="F45:G45"/>
    <mergeCell ref="F46:G46"/>
    <mergeCell ref="F47:G47"/>
    <mergeCell ref="F48:G48"/>
    <mergeCell ref="F71:G71"/>
    <mergeCell ref="F72:G72"/>
    <mergeCell ref="I54:J54"/>
    <mergeCell ref="I55:J55"/>
    <mergeCell ref="I56:J56"/>
    <mergeCell ref="I57:J57"/>
    <mergeCell ref="D57:E57"/>
    <mergeCell ref="D58:E58"/>
    <mergeCell ref="D65:E65"/>
    <mergeCell ref="I60:J60"/>
    <mergeCell ref="I61:J61"/>
    <mergeCell ref="D60:E60"/>
    <mergeCell ref="D61:E61"/>
    <mergeCell ref="F60:G60"/>
    <mergeCell ref="F61:G61"/>
    <mergeCell ref="F62:G62"/>
    <mergeCell ref="F63:G63"/>
    <mergeCell ref="D63:E63"/>
    <mergeCell ref="D59:E59"/>
    <mergeCell ref="F56:G56"/>
    <mergeCell ref="F57:G57"/>
    <mergeCell ref="F58:G58"/>
    <mergeCell ref="D56:E56"/>
    <mergeCell ref="F59:G59"/>
    <mergeCell ref="D70:E70"/>
    <mergeCell ref="D71:E71"/>
    <mergeCell ref="D72:E72"/>
    <mergeCell ref="J78:K78"/>
    <mergeCell ref="I62:J62"/>
    <mergeCell ref="I63:J63"/>
    <mergeCell ref="D68:E68"/>
    <mergeCell ref="D69:E69"/>
    <mergeCell ref="I67:I72"/>
    <mergeCell ref="J67:K72"/>
    <mergeCell ref="F68:G68"/>
    <mergeCell ref="F69:G69"/>
    <mergeCell ref="F70:G70"/>
    <mergeCell ref="F66:G66"/>
    <mergeCell ref="I66:J66"/>
    <mergeCell ref="D67:E67"/>
    <mergeCell ref="I64:J64"/>
    <mergeCell ref="I65:J65"/>
    <mergeCell ref="F64:G64"/>
    <mergeCell ref="F65:G65"/>
    <mergeCell ref="F67:G67"/>
    <mergeCell ref="D66:E66"/>
    <mergeCell ref="D64:E64"/>
    <mergeCell ref="D62:E62"/>
    <mergeCell ref="G77:H77"/>
    <mergeCell ref="G78:H78"/>
    <mergeCell ref="G79:H79"/>
    <mergeCell ref="E77:F77"/>
    <mergeCell ref="E78:F78"/>
    <mergeCell ref="J77:K77"/>
    <mergeCell ref="G73:H73"/>
    <mergeCell ref="G74:H74"/>
    <mergeCell ref="G75:H75"/>
    <mergeCell ref="G76:H76"/>
    <mergeCell ref="J73:K73"/>
    <mergeCell ref="J74:K74"/>
    <mergeCell ref="J75:K75"/>
    <mergeCell ref="E76:F76"/>
    <mergeCell ref="E73:F73"/>
    <mergeCell ref="E74:F74"/>
    <mergeCell ref="E75:F75"/>
    <mergeCell ref="J76:K76"/>
    <mergeCell ref="H172:H177"/>
    <mergeCell ref="J79:K79"/>
    <mergeCell ref="G140:G141"/>
    <mergeCell ref="H140:H141"/>
    <mergeCell ref="C140:C141"/>
    <mergeCell ref="D140:D141"/>
    <mergeCell ref="E140:F141"/>
    <mergeCell ref="H163:H164"/>
    <mergeCell ref="C218:G218"/>
    <mergeCell ref="E142:F142"/>
    <mergeCell ref="C163:C164"/>
    <mergeCell ref="G163:G164"/>
    <mergeCell ref="C192:C195"/>
    <mergeCell ref="D192:G192"/>
    <mergeCell ref="F193:G193"/>
    <mergeCell ref="D194:G194"/>
    <mergeCell ref="G172:G177"/>
    <mergeCell ref="E82:F82"/>
    <mergeCell ref="E83:F83"/>
    <mergeCell ref="E79:F79"/>
  </mergeCells>
  <phoneticPr fontId="18" type="noConversion"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8199" r:id="rId4">
          <objectPr defaultSize="0" autoPict="0" r:id="rId5">
            <anchor moveWithCells="1" sizeWithCells="1">
              <from>
                <xdr:col>3</xdr:col>
                <xdr:colOff>0</xdr:colOff>
                <xdr:row>4</xdr:row>
                <xdr:rowOff>0</xdr:rowOff>
              </from>
              <to>
                <xdr:col>3</xdr:col>
                <xdr:colOff>161925</xdr:colOff>
                <xdr:row>5</xdr:row>
                <xdr:rowOff>28575</xdr:rowOff>
              </to>
            </anchor>
          </objectPr>
        </oleObject>
      </mc:Choice>
      <mc:Fallback>
        <oleObject progId="Equation.DSMT4" shapeId="8199" r:id="rId4"/>
      </mc:Fallback>
    </mc:AlternateContent>
    <mc:AlternateContent xmlns:mc="http://schemas.openxmlformats.org/markup-compatibility/2006">
      <mc:Choice Requires="x14">
        <oleObject progId="Equation.DSMT4" shapeId="8200" r:id="rId6">
          <objectPr defaultSize="0" autoPict="0" r:id="rId7">
            <anchor moveWithCells="1" sizeWithCells="1">
              <from>
                <xdr:col>5</xdr:col>
                <xdr:colOff>0</xdr:colOff>
                <xdr:row>4</xdr:row>
                <xdr:rowOff>0</xdr:rowOff>
              </from>
              <to>
                <xdr:col>5</xdr:col>
                <xdr:colOff>180975</xdr:colOff>
                <xdr:row>5</xdr:row>
                <xdr:rowOff>28575</xdr:rowOff>
              </to>
            </anchor>
          </objectPr>
        </oleObject>
      </mc:Choice>
      <mc:Fallback>
        <oleObject progId="Equation.DSMT4" shapeId="8200" r:id="rId6"/>
      </mc:Fallback>
    </mc:AlternateContent>
    <mc:AlternateContent xmlns:mc="http://schemas.openxmlformats.org/markup-compatibility/2006">
      <mc:Choice Requires="x14">
        <oleObject progId="Equation.DSMT4" shapeId="8201" r:id="rId8">
          <objectPr defaultSize="0" autoPict="0" r:id="rId9">
            <anchor moveWithCells="1" sizeWithCells="1">
              <from>
                <xdr:col>12</xdr:col>
                <xdr:colOff>0</xdr:colOff>
                <xdr:row>5</xdr:row>
                <xdr:rowOff>0</xdr:rowOff>
              </from>
              <to>
                <xdr:col>12</xdr:col>
                <xdr:colOff>123825</xdr:colOff>
                <xdr:row>5</xdr:row>
                <xdr:rowOff>161925</xdr:rowOff>
              </to>
            </anchor>
          </objectPr>
        </oleObject>
      </mc:Choice>
      <mc:Fallback>
        <oleObject progId="Equation.DSMT4" shapeId="8201" r:id="rId8"/>
      </mc:Fallback>
    </mc:AlternateContent>
    <mc:AlternateContent xmlns:mc="http://schemas.openxmlformats.org/markup-compatibility/2006">
      <mc:Choice Requires="x14">
        <oleObject progId="Equation.3" shapeId="8203" r:id="rId10">
          <objectPr defaultSize="0" autoPict="0" r:id="rId11">
            <anchor moveWithCells="1" sizeWithCells="1">
              <from>
                <xdr:col>3</xdr:col>
                <xdr:colOff>76200</xdr:colOff>
                <xdr:row>179</xdr:row>
                <xdr:rowOff>0</xdr:rowOff>
              </from>
              <to>
                <xdr:col>4</xdr:col>
                <xdr:colOff>85725</xdr:colOff>
                <xdr:row>179</xdr:row>
                <xdr:rowOff>304800</xdr:rowOff>
              </to>
            </anchor>
          </objectPr>
        </oleObject>
      </mc:Choice>
      <mc:Fallback>
        <oleObject progId="Equation.3" shapeId="8203" r:id="rId10"/>
      </mc:Fallback>
    </mc:AlternateContent>
    <mc:AlternateContent xmlns:mc="http://schemas.openxmlformats.org/markup-compatibility/2006">
      <mc:Choice Requires="x14">
        <oleObject progId="Equation.3" shapeId="8202" r:id="rId12">
          <objectPr defaultSize="0" autoPict="0" r:id="rId13">
            <anchor moveWithCells="1" sizeWithCells="1">
              <from>
                <xdr:col>3</xdr:col>
                <xdr:colOff>171450</xdr:colOff>
                <xdr:row>180</xdr:row>
                <xdr:rowOff>47625</xdr:rowOff>
              </from>
              <to>
                <xdr:col>3</xdr:col>
                <xdr:colOff>581025</xdr:colOff>
                <xdr:row>181</xdr:row>
                <xdr:rowOff>47625</xdr:rowOff>
              </to>
            </anchor>
          </objectPr>
        </oleObject>
      </mc:Choice>
      <mc:Fallback>
        <oleObject progId="Equation.3" shapeId="8202" r:id="rId1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B12" sqref="B12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5">
      <c r="B1" s="330" t="s">
        <v>463</v>
      </c>
      <c r="C1" s="331"/>
      <c r="D1" s="335"/>
      <c r="E1" s="335"/>
    </row>
    <row r="2" spans="2:5" x14ac:dyDescent="0.25">
      <c r="B2" s="330" t="s">
        <v>464</v>
      </c>
      <c r="C2" s="331"/>
      <c r="D2" s="335"/>
      <c r="E2" s="335"/>
    </row>
    <row r="3" spans="2:5" x14ac:dyDescent="0.25">
      <c r="B3" s="170"/>
      <c r="C3" s="170"/>
      <c r="D3" s="336"/>
      <c r="E3" s="336"/>
    </row>
    <row r="4" spans="2:5" ht="60" x14ac:dyDescent="0.25">
      <c r="B4" s="332" t="s">
        <v>465</v>
      </c>
      <c r="C4" s="170"/>
      <c r="D4" s="336"/>
      <c r="E4" s="336"/>
    </row>
    <row r="5" spans="2:5" x14ac:dyDescent="0.25">
      <c r="B5" s="170"/>
      <c r="C5" s="170"/>
      <c r="D5" s="336"/>
      <c r="E5" s="336"/>
    </row>
    <row r="6" spans="2:5" ht="30" x14ac:dyDescent="0.25">
      <c r="B6" s="330" t="s">
        <v>466</v>
      </c>
      <c r="C6" s="331"/>
      <c r="D6" s="335"/>
      <c r="E6" s="337" t="s">
        <v>467</v>
      </c>
    </row>
    <row r="7" spans="2:5" ht="15.75" thickBot="1" x14ac:dyDescent="0.3">
      <c r="B7" s="170"/>
      <c r="C7" s="170"/>
      <c r="D7" s="336"/>
      <c r="E7" s="336"/>
    </row>
    <row r="8" spans="2:5" ht="60.75" thickBot="1" x14ac:dyDescent="0.3">
      <c r="B8" s="333" t="s">
        <v>468</v>
      </c>
      <c r="C8" s="334"/>
      <c r="D8" s="338"/>
      <c r="E8" s="339">
        <v>2</v>
      </c>
    </row>
    <row r="9" spans="2:5" x14ac:dyDescent="0.25">
      <c r="B9" s="170"/>
      <c r="C9" s="170"/>
      <c r="D9" s="336"/>
      <c r="E9" s="336"/>
    </row>
    <row r="10" spans="2:5" x14ac:dyDescent="0.25">
      <c r="B10" s="170"/>
      <c r="C10" s="170"/>
      <c r="D10" s="336"/>
      <c r="E10" s="3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темп граф</vt:lpstr>
      <vt:lpstr>норм втрати</vt:lpstr>
      <vt:lpstr>розрах втрат тр. ОП+ГВП</vt:lpstr>
      <vt:lpstr>ТЕО для ОП+ГВП</vt:lpstr>
      <vt:lpstr>допоміжн інф</vt:lpstr>
      <vt:lpstr>Отчет о совместимости</vt:lpstr>
      <vt:lpstr>'допоміжн інф'!_Toc186444652</vt:lpstr>
      <vt:lpstr>'норм втрати'!Область_печати</vt:lpstr>
      <vt:lpstr>'розрах втрат тр. ОП+ГВП'!Область_печати</vt:lpstr>
      <vt:lpstr>'темп граф'!Область_печати</vt:lpstr>
      <vt:lpstr>'ТЕО для ОП+ГВП'!Область_печати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2021-09-27T12:01:12Z</dcterms:modified>
</cp:coreProperties>
</file>