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 codeName="ЭтаКнига" defaultThemeVersion="124226"/>
  <xr:revisionPtr revIDLastSave="0" documentId="10_ncr:8100000_{579BBBAF-0328-45A3-8B7B-954D3069F773}" xr6:coauthVersionLast="34" xr6:coauthVersionMax="34" xr10:uidLastSave="{00000000-0000-0000-0000-000000000000}"/>
  <bookViews>
    <workbookView xWindow="0" yWindow="0" windowWidth="17160" windowHeight="1452" xr2:uid="{00000000-000D-0000-FFFF-FFFF00000000}"/>
  </bookViews>
  <sheets>
    <sheet name="Лист1" sheetId="1" r:id="rId1"/>
    <sheet name="Додаток" sheetId="2" r:id="rId2"/>
  </sheets>
  <externalReferences>
    <externalReference r:id="rId3"/>
    <externalReference r:id="rId4"/>
    <externalReference r:id="rId5"/>
  </externalReferences>
  <definedNames>
    <definedName name="_xlnm.Print_Area" localSheetId="0">Лист1!$A$1:$AF$52</definedName>
  </definedNames>
  <calcPr calcId="162913"/>
</workbook>
</file>

<file path=xl/calcChain.xml><?xml version="1.0" encoding="utf-8"?>
<calcChain xmlns="http://schemas.openxmlformats.org/spreadsheetml/2006/main">
  <c r="C46" i="1" l="1"/>
  <c r="AC12" i="1" l="1"/>
  <c r="AA29" i="1" l="1"/>
  <c r="K21" i="1"/>
  <c r="L21" i="1" s="1"/>
  <c r="K22" i="1"/>
  <c r="L22" i="1" s="1"/>
  <c r="M22" i="1"/>
  <c r="N22" i="1" s="1"/>
  <c r="K23" i="1"/>
  <c r="L23" i="1" s="1"/>
  <c r="Q21" i="1"/>
  <c r="S21" i="1" s="1"/>
  <c r="T21" i="1" s="1"/>
  <c r="Q22" i="1"/>
  <c r="S22" i="1" s="1"/>
  <c r="T22" i="1" s="1"/>
  <c r="Q23" i="1"/>
  <c r="S23" i="1" s="1"/>
  <c r="T23" i="1" s="1"/>
  <c r="W21" i="1"/>
  <c r="X21" i="1" s="1"/>
  <c r="Y21" i="1"/>
  <c r="Z21" i="1" s="1"/>
  <c r="W22" i="1"/>
  <c r="X22" i="1" s="1"/>
  <c r="W23" i="1"/>
  <c r="X23" i="1" s="1"/>
  <c r="Y23" i="1"/>
  <c r="Z23" i="1" s="1"/>
  <c r="W20" i="1"/>
  <c r="X20" i="1" s="1"/>
  <c r="K20" i="1"/>
  <c r="M20" i="1" s="1"/>
  <c r="N20" i="1" s="1"/>
  <c r="Q20" i="1"/>
  <c r="S20" i="1" s="1"/>
  <c r="T20" i="1" s="1"/>
  <c r="Y22" i="1" l="1"/>
  <c r="Z22" i="1" s="1"/>
  <c r="M23" i="1"/>
  <c r="N23" i="1" s="1"/>
  <c r="M21" i="1"/>
  <c r="N21" i="1" s="1"/>
  <c r="Q19" i="1"/>
  <c r="L20" i="1"/>
  <c r="R23" i="1"/>
  <c r="R22" i="1"/>
  <c r="R21" i="1"/>
  <c r="K19" i="1"/>
  <c r="R20" i="1"/>
  <c r="W19" i="1"/>
  <c r="Y20" i="1"/>
  <c r="Z20" i="1" s="1"/>
  <c r="AC25" i="1"/>
  <c r="AD25" i="1" s="1"/>
  <c r="AE25" i="1"/>
  <c r="AF25" i="1" s="1"/>
  <c r="AC30" i="1"/>
  <c r="AD30" i="1" s="1"/>
  <c r="W25" i="1"/>
  <c r="X25" i="1" s="1"/>
  <c r="Y25" i="1"/>
  <c r="Z25" i="1" s="1"/>
  <c r="W30" i="1"/>
  <c r="X30" i="1" s="1"/>
  <c r="Q30" i="1"/>
  <c r="R30" i="1" s="1"/>
  <c r="S30" i="1"/>
  <c r="T30" i="1" s="1"/>
  <c r="Q25" i="1"/>
  <c r="R25" i="1" s="1"/>
  <c r="K25" i="1"/>
  <c r="L25" i="1" s="1"/>
  <c r="K30" i="1"/>
  <c r="L30" i="1" s="1"/>
  <c r="E25" i="1"/>
  <c r="C30" i="1"/>
  <c r="C25" i="1"/>
  <c r="C20" i="1"/>
  <c r="AB30" i="1"/>
  <c r="AB25" i="1"/>
  <c r="AA24" i="1"/>
  <c r="AA19" i="1"/>
  <c r="AB20" i="1"/>
  <c r="V20" i="1"/>
  <c r="V30" i="1"/>
  <c r="V25" i="1"/>
  <c r="U29" i="1"/>
  <c r="U24" i="1"/>
  <c r="U19" i="1"/>
  <c r="J30" i="1"/>
  <c r="O24" i="1"/>
  <c r="O29" i="1"/>
  <c r="P30" i="1"/>
  <c r="P25" i="1"/>
  <c r="O19" i="1"/>
  <c r="P20" i="1"/>
  <c r="J25" i="1"/>
  <c r="J20" i="1"/>
  <c r="I24" i="1"/>
  <c r="I29" i="1"/>
  <c r="I19" i="1"/>
  <c r="E30" i="1" l="1"/>
  <c r="M25" i="1"/>
  <c r="N25" i="1" s="1"/>
  <c r="S25" i="1"/>
  <c r="T25" i="1" s="1"/>
  <c r="M30" i="1"/>
  <c r="N30" i="1" s="1"/>
  <c r="Y30" i="1"/>
  <c r="Z30" i="1" s="1"/>
  <c r="AE30" i="1"/>
  <c r="AF30" i="1" s="1"/>
  <c r="E20" i="1"/>
  <c r="G25" i="1"/>
  <c r="H25" i="1" s="1"/>
  <c r="G30" i="1"/>
  <c r="H30" i="1" s="1"/>
  <c r="G20" i="1" l="1"/>
  <c r="H20" i="1" s="1"/>
  <c r="AC23" i="1" l="1"/>
  <c r="E23" i="1" l="1"/>
  <c r="AC18" i="1" l="1"/>
  <c r="W18" i="1"/>
  <c r="Q18" i="1"/>
  <c r="K18" i="1"/>
  <c r="AC13" i="1"/>
  <c r="W13" i="1"/>
  <c r="Q13" i="1"/>
  <c r="K13" i="1"/>
  <c r="C41" i="1" l="1"/>
  <c r="V21" i="1"/>
  <c r="V16" i="1"/>
  <c r="V15" i="1"/>
  <c r="J21" i="1"/>
  <c r="W41" i="1" l="1"/>
  <c r="AC48" i="1"/>
  <c r="AC47" i="1"/>
  <c r="W48" i="1"/>
  <c r="Q48" i="1"/>
  <c r="K48" i="1"/>
  <c r="K14" i="1"/>
  <c r="L14" i="1" l="1"/>
  <c r="P14" i="1"/>
  <c r="P16" i="1"/>
  <c r="P17" i="1"/>
  <c r="P21" i="1"/>
  <c r="P26" i="1"/>
  <c r="P27" i="1"/>
  <c r="V41" i="1"/>
  <c r="X41" i="1" s="1"/>
  <c r="P41" i="1"/>
  <c r="J41" i="1"/>
  <c r="J48" i="1"/>
  <c r="L48" i="1" s="1"/>
  <c r="AB47" i="1"/>
  <c r="AD47" i="1" s="1"/>
  <c r="AB48" i="1"/>
  <c r="AD48" i="1" s="1"/>
  <c r="V48" i="1"/>
  <c r="P48" i="1"/>
  <c r="R48" i="1" s="1"/>
  <c r="AA11" i="1"/>
  <c r="AC52" i="1"/>
  <c r="X48" i="1"/>
  <c r="Y48" i="1"/>
  <c r="S48" i="1"/>
  <c r="M48" i="1"/>
  <c r="C48" i="1"/>
  <c r="E48" i="1"/>
  <c r="AB32" i="1"/>
  <c r="AC32" i="1"/>
  <c r="AD32" i="1" s="1"/>
  <c r="V32" i="1"/>
  <c r="W32" i="1"/>
  <c r="X32" i="1" s="1"/>
  <c r="P32" i="1"/>
  <c r="Q32" i="1"/>
  <c r="R32" i="1" s="1"/>
  <c r="J32" i="1"/>
  <c r="K32" i="1"/>
  <c r="L32" i="1" s="1"/>
  <c r="C32" i="1"/>
  <c r="AC27" i="1"/>
  <c r="AE27" i="1" s="1"/>
  <c r="AF27" i="1" s="1"/>
  <c r="AB27" i="1"/>
  <c r="W27" i="1"/>
  <c r="Y27" i="1" s="1"/>
  <c r="Z27" i="1" s="1"/>
  <c r="V27" i="1"/>
  <c r="Q27" i="1"/>
  <c r="S27" i="1" s="1"/>
  <c r="T27" i="1" s="1"/>
  <c r="K27" i="1"/>
  <c r="L27" i="1" s="1"/>
  <c r="J27" i="1"/>
  <c r="C27" i="1"/>
  <c r="E27" i="1" l="1"/>
  <c r="G27" i="1" s="1"/>
  <c r="H27" i="1" s="1"/>
  <c r="R27" i="1"/>
  <c r="M27" i="1"/>
  <c r="N27" i="1" s="1"/>
  <c r="AE32" i="1"/>
  <c r="AF32" i="1" s="1"/>
  <c r="Y32" i="1"/>
  <c r="Z32" i="1" s="1"/>
  <c r="S32" i="1"/>
  <c r="T32" i="1" s="1"/>
  <c r="E32" i="1"/>
  <c r="M32" i="1"/>
  <c r="N32" i="1" s="1"/>
  <c r="AD27" i="1"/>
  <c r="X27" i="1"/>
  <c r="J45" i="1"/>
  <c r="J44" i="1"/>
  <c r="AB44" i="1"/>
  <c r="AB45" i="1"/>
  <c r="J14" i="1"/>
  <c r="G32" i="1" l="1"/>
  <c r="H32" i="1" s="1"/>
  <c r="AC22" i="1" l="1"/>
  <c r="AE22" i="1" s="1"/>
  <c r="AF22" i="1" s="1"/>
  <c r="C22" i="1"/>
  <c r="AB22" i="1"/>
  <c r="AA10" i="1"/>
  <c r="AA40" i="1" s="1"/>
  <c r="V22" i="1"/>
  <c r="P22" i="1"/>
  <c r="K43" i="1"/>
  <c r="J22" i="1"/>
  <c r="AD22" i="1" l="1"/>
  <c r="E22" i="1"/>
  <c r="G22" i="1" s="1"/>
  <c r="H22" i="1" s="1"/>
  <c r="AD44" i="1"/>
  <c r="AD45" i="1"/>
  <c r="AC43" i="1"/>
  <c r="AB43" i="1"/>
  <c r="AB41" i="1"/>
  <c r="X44" i="1"/>
  <c r="X45" i="1"/>
  <c r="W43" i="1"/>
  <c r="X43" i="1" s="1"/>
  <c r="V43" i="1"/>
  <c r="U45" i="1"/>
  <c r="V45" i="1" s="1"/>
  <c r="U44" i="1"/>
  <c r="M43" i="1"/>
  <c r="N43" i="1" s="1"/>
  <c r="M44" i="1"/>
  <c r="M45" i="1"/>
  <c r="S44" i="1"/>
  <c r="S45" i="1"/>
  <c r="Q43" i="1"/>
  <c r="P43" i="1"/>
  <c r="Q41" i="1"/>
  <c r="R41" i="1" s="1"/>
  <c r="L43" i="1"/>
  <c r="AD43" i="1" l="1"/>
  <c r="R43" i="1"/>
  <c r="Y44" i="1"/>
  <c r="V44" i="1"/>
  <c r="Y45" i="1"/>
  <c r="S43" i="1"/>
  <c r="T43" i="1" s="1"/>
  <c r="Y43" i="1"/>
  <c r="Z43" i="1" s="1"/>
  <c r="J43" i="1"/>
  <c r="AB18" i="1"/>
  <c r="K41" i="1"/>
  <c r="L41" i="1" l="1"/>
  <c r="E41" i="1"/>
  <c r="AC33" i="1"/>
  <c r="AD33" i="1" s="1"/>
  <c r="AC31" i="1"/>
  <c r="AC28" i="1"/>
  <c r="AE28" i="1" s="1"/>
  <c r="AF28" i="1" s="1"/>
  <c r="AC26" i="1"/>
  <c r="AC15" i="1"/>
  <c r="AD15" i="1" s="1"/>
  <c r="AC16" i="1"/>
  <c r="AE16" i="1" s="1"/>
  <c r="AF16" i="1" s="1"/>
  <c r="AC17" i="1"/>
  <c r="AE17" i="1" s="1"/>
  <c r="AF17" i="1" s="1"/>
  <c r="AC14" i="1"/>
  <c r="AE14" i="1" s="1"/>
  <c r="W52" i="1"/>
  <c r="W33" i="1"/>
  <c r="W31" i="1"/>
  <c r="W28" i="1"/>
  <c r="W26" i="1"/>
  <c r="W15" i="1"/>
  <c r="W16" i="1"/>
  <c r="W17" i="1"/>
  <c r="W14" i="1"/>
  <c r="Q52" i="1"/>
  <c r="Q33" i="1"/>
  <c r="Q31" i="1"/>
  <c r="Q28" i="1"/>
  <c r="Q26" i="1"/>
  <c r="Q24" i="1" s="1"/>
  <c r="Q15" i="1"/>
  <c r="Q16" i="1"/>
  <c r="Q17" i="1"/>
  <c r="Q14" i="1"/>
  <c r="K52" i="1"/>
  <c r="K33" i="1"/>
  <c r="K31" i="1"/>
  <c r="K28" i="1"/>
  <c r="K26" i="1"/>
  <c r="K16" i="1"/>
  <c r="K17" i="1"/>
  <c r="K15" i="1"/>
  <c r="C12" i="1"/>
  <c r="C13" i="1"/>
  <c r="C14" i="1"/>
  <c r="C15" i="1"/>
  <c r="C16" i="1"/>
  <c r="C17" i="1"/>
  <c r="C18" i="1"/>
  <c r="C21" i="1"/>
  <c r="C23" i="1"/>
  <c r="C26" i="1"/>
  <c r="C28" i="1"/>
  <c r="C31" i="1"/>
  <c r="C33" i="1"/>
  <c r="C34" i="1"/>
  <c r="C35" i="1"/>
  <c r="C36" i="1"/>
  <c r="C37" i="1"/>
  <c r="C38" i="1"/>
  <c r="C39" i="1"/>
  <c r="C43" i="1"/>
  <c r="C44" i="1"/>
  <c r="C45" i="1"/>
  <c r="E34" i="1"/>
  <c r="E35" i="1"/>
  <c r="E36" i="1"/>
  <c r="E37" i="1"/>
  <c r="E38" i="1"/>
  <c r="E39" i="1"/>
  <c r="E43" i="1"/>
  <c r="E44" i="1"/>
  <c r="E45" i="1"/>
  <c r="AB33" i="1"/>
  <c r="AB31" i="1"/>
  <c r="AB28" i="1"/>
  <c r="AB26" i="1"/>
  <c r="AB21" i="1"/>
  <c r="AB23" i="1"/>
  <c r="AB14" i="1"/>
  <c r="AB15" i="1"/>
  <c r="AB16" i="1"/>
  <c r="AB17" i="1"/>
  <c r="AB13" i="1"/>
  <c r="AB12" i="1"/>
  <c r="AB24" i="1" l="1"/>
  <c r="K29" i="1"/>
  <c r="W24" i="1"/>
  <c r="Q29" i="1"/>
  <c r="AB29" i="1"/>
  <c r="K24" i="1"/>
  <c r="W29" i="1"/>
  <c r="AB19" i="1"/>
  <c r="AC29" i="1"/>
  <c r="AE29" i="1" s="1"/>
  <c r="AF29" i="1" s="1"/>
  <c r="AC24" i="1"/>
  <c r="AE24" i="1" s="1"/>
  <c r="AF24" i="1" s="1"/>
  <c r="E52" i="1"/>
  <c r="Q12" i="1" s="1"/>
  <c r="AD28" i="1"/>
  <c r="AD16" i="1"/>
  <c r="AD31" i="1"/>
  <c r="AD29" i="1" s="1"/>
  <c r="AE31" i="1"/>
  <c r="AF31" i="1" s="1"/>
  <c r="AE15" i="1"/>
  <c r="AD14" i="1"/>
  <c r="E16" i="1"/>
  <c r="E28" i="1"/>
  <c r="G28" i="1" s="1"/>
  <c r="H28" i="1" s="1"/>
  <c r="E17" i="1"/>
  <c r="AE26" i="1"/>
  <c r="AF26" i="1" s="1"/>
  <c r="AD26" i="1"/>
  <c r="AD17" i="1"/>
  <c r="AE33" i="1"/>
  <c r="AF33" i="1" s="1"/>
  <c r="E14" i="1"/>
  <c r="E33" i="1"/>
  <c r="G33" i="1" s="1"/>
  <c r="H33" i="1" s="1"/>
  <c r="E15" i="1"/>
  <c r="E31" i="1"/>
  <c r="G31" i="1" s="1"/>
  <c r="H31" i="1" s="1"/>
  <c r="E26" i="1"/>
  <c r="G26" i="1" s="1"/>
  <c r="H26" i="1" s="1"/>
  <c r="AB11" i="1"/>
  <c r="Y33" i="1"/>
  <c r="Z33" i="1" s="1"/>
  <c r="Y31" i="1"/>
  <c r="Z31" i="1" s="1"/>
  <c r="Y28" i="1"/>
  <c r="Z28" i="1" s="1"/>
  <c r="Y26" i="1"/>
  <c r="Z26" i="1" s="1"/>
  <c r="Y17" i="1"/>
  <c r="Z17" i="1" s="1"/>
  <c r="Y16" i="1"/>
  <c r="Z16" i="1" s="1"/>
  <c r="Y15" i="1"/>
  <c r="Z15" i="1" s="1"/>
  <c r="Y14" i="1"/>
  <c r="S33" i="1"/>
  <c r="T33" i="1" s="1"/>
  <c r="S31" i="1"/>
  <c r="T31" i="1" s="1"/>
  <c r="S28" i="1"/>
  <c r="T28" i="1" s="1"/>
  <c r="S26" i="1"/>
  <c r="T26" i="1" s="1"/>
  <c r="S17" i="1"/>
  <c r="T17" i="1" s="1"/>
  <c r="S16" i="1"/>
  <c r="T16" i="1" s="1"/>
  <c r="S15" i="1"/>
  <c r="T15" i="1" s="1"/>
  <c r="S14" i="1"/>
  <c r="T14" i="1" s="1"/>
  <c r="M33" i="1"/>
  <c r="N33" i="1" s="1"/>
  <c r="M31" i="1"/>
  <c r="N31" i="1" s="1"/>
  <c r="M28" i="1"/>
  <c r="N28" i="1" s="1"/>
  <c r="M26" i="1"/>
  <c r="N26" i="1" s="1"/>
  <c r="M17" i="1"/>
  <c r="N17" i="1" s="1"/>
  <c r="M16" i="1"/>
  <c r="N16" i="1" s="1"/>
  <c r="M15" i="1"/>
  <c r="N15" i="1" s="1"/>
  <c r="M14" i="1"/>
  <c r="N14" i="1" s="1"/>
  <c r="X33" i="1"/>
  <c r="X31" i="1"/>
  <c r="X28" i="1"/>
  <c r="X26" i="1"/>
  <c r="X17" i="1"/>
  <c r="X16" i="1"/>
  <c r="X15" i="1"/>
  <c r="X14" i="1"/>
  <c r="V33" i="1"/>
  <c r="V31" i="1"/>
  <c r="V28" i="1"/>
  <c r="V26" i="1"/>
  <c r="V23" i="1"/>
  <c r="V19" i="1" s="1"/>
  <c r="V18" i="1"/>
  <c r="V13" i="1"/>
  <c r="V14" i="1"/>
  <c r="V17" i="1"/>
  <c r="V12" i="1"/>
  <c r="R33" i="1"/>
  <c r="R31" i="1"/>
  <c r="R28" i="1"/>
  <c r="R26" i="1"/>
  <c r="R17" i="1"/>
  <c r="R16" i="1"/>
  <c r="R15" i="1"/>
  <c r="R14" i="1"/>
  <c r="P33" i="1"/>
  <c r="P31" i="1"/>
  <c r="P28" i="1"/>
  <c r="P24" i="1" s="1"/>
  <c r="P23" i="1"/>
  <c r="P19" i="1" s="1"/>
  <c r="P18" i="1"/>
  <c r="P13" i="1"/>
  <c r="P15" i="1"/>
  <c r="P12" i="1"/>
  <c r="L33" i="1"/>
  <c r="L31" i="1"/>
  <c r="L28" i="1"/>
  <c r="L26" i="1"/>
  <c r="L17" i="1"/>
  <c r="L16" i="1"/>
  <c r="L15" i="1"/>
  <c r="J33" i="1"/>
  <c r="J31" i="1"/>
  <c r="J29" i="1" s="1"/>
  <c r="J28" i="1"/>
  <c r="J26" i="1"/>
  <c r="J23" i="1"/>
  <c r="J19" i="1" s="1"/>
  <c r="J16" i="1"/>
  <c r="J17" i="1"/>
  <c r="J15" i="1"/>
  <c r="J13" i="1"/>
  <c r="J18" i="1"/>
  <c r="J12" i="1"/>
  <c r="I11" i="1"/>
  <c r="I10" i="1" s="1"/>
  <c r="U11" i="1"/>
  <c r="O11" i="1"/>
  <c r="O10" i="1" s="1"/>
  <c r="P29" i="1" l="1"/>
  <c r="V24" i="1"/>
  <c r="R12" i="1"/>
  <c r="S12" i="1"/>
  <c r="T12" i="1" s="1"/>
  <c r="W12" i="1"/>
  <c r="W11" i="1" s="1"/>
  <c r="K12" i="1"/>
  <c r="V29" i="1"/>
  <c r="J24" i="1"/>
  <c r="AC11" i="1"/>
  <c r="Q11" i="1"/>
  <c r="Q10" i="1" s="1"/>
  <c r="L29" i="1"/>
  <c r="R29" i="1"/>
  <c r="L24" i="1"/>
  <c r="R24" i="1"/>
  <c r="X29" i="1"/>
  <c r="X24" i="1"/>
  <c r="AD24" i="1"/>
  <c r="C52" i="1"/>
  <c r="V11" i="1"/>
  <c r="P11" i="1"/>
  <c r="P10" i="1" s="1"/>
  <c r="AB10" i="1"/>
  <c r="AB40" i="1" s="1"/>
  <c r="Y24" i="1"/>
  <c r="Z24" i="1" s="1"/>
  <c r="S29" i="1"/>
  <c r="T29" i="1" s="1"/>
  <c r="S24" i="1"/>
  <c r="T24" i="1" s="1"/>
  <c r="C24" i="1"/>
  <c r="C19" i="1"/>
  <c r="C11" i="1"/>
  <c r="M29" i="1"/>
  <c r="N29" i="1" s="1"/>
  <c r="M24" i="1"/>
  <c r="N24" i="1" s="1"/>
  <c r="E24" i="1"/>
  <c r="J11" i="1"/>
  <c r="G17" i="1"/>
  <c r="H17" i="1" s="1"/>
  <c r="G15" i="1"/>
  <c r="H15" i="1" s="1"/>
  <c r="G16" i="1"/>
  <c r="H16" i="1" s="1"/>
  <c r="G14" i="1"/>
  <c r="H14" i="1" s="1"/>
  <c r="O40" i="1"/>
  <c r="U10" i="1"/>
  <c r="L12" i="1" l="1"/>
  <c r="M12" i="1"/>
  <c r="N12" i="1" s="1"/>
  <c r="X12" i="1"/>
  <c r="Y12" i="1"/>
  <c r="Z12" i="1" s="1"/>
  <c r="F25" i="1"/>
  <c r="F30" i="1"/>
  <c r="D30" i="1"/>
  <c r="F20" i="1"/>
  <c r="U46" i="1"/>
  <c r="I46" i="1"/>
  <c r="AA46" i="1"/>
  <c r="D25" i="1"/>
  <c r="D20" i="1"/>
  <c r="O46" i="1"/>
  <c r="AC21" i="1"/>
  <c r="AD21" i="1" s="1"/>
  <c r="K11" i="1"/>
  <c r="D41" i="1"/>
  <c r="F41" i="1"/>
  <c r="L18" i="1"/>
  <c r="D44" i="1"/>
  <c r="F48" i="1"/>
  <c r="D32" i="1"/>
  <c r="F27" i="1"/>
  <c r="D27" i="1"/>
  <c r="D48" i="1"/>
  <c r="F32" i="1"/>
  <c r="AD12" i="1"/>
  <c r="E18" i="1"/>
  <c r="F18" i="1" s="1"/>
  <c r="D14" i="1"/>
  <c r="F43" i="1"/>
  <c r="F16" i="1"/>
  <c r="D24" i="1"/>
  <c r="F15" i="1"/>
  <c r="F34" i="1"/>
  <c r="D12" i="1"/>
  <c r="D37" i="1"/>
  <c r="F37" i="1"/>
  <c r="D15" i="1"/>
  <c r="F22" i="1"/>
  <c r="D22" i="1"/>
  <c r="D18" i="1"/>
  <c r="D43" i="1"/>
  <c r="F33" i="1"/>
  <c r="D11" i="1"/>
  <c r="I40" i="1"/>
  <c r="D23" i="1"/>
  <c r="D36" i="1"/>
  <c r="D31" i="1"/>
  <c r="F28" i="1"/>
  <c r="F38" i="1"/>
  <c r="D26" i="1"/>
  <c r="D38" i="1"/>
  <c r="D16" i="1"/>
  <c r="D33" i="1"/>
  <c r="D39" i="1"/>
  <c r="D13" i="1"/>
  <c r="F39" i="1"/>
  <c r="F31" i="1"/>
  <c r="F14" i="1"/>
  <c r="F44" i="1"/>
  <c r="F17" i="1"/>
  <c r="D19" i="1"/>
  <c r="D28" i="1"/>
  <c r="D34" i="1"/>
  <c r="D46" i="1"/>
  <c r="D21" i="1"/>
  <c r="D35" i="1"/>
  <c r="D45" i="1"/>
  <c r="F45" i="1"/>
  <c r="F35" i="1"/>
  <c r="F26" i="1"/>
  <c r="D17" i="1"/>
  <c r="F36" i="1"/>
  <c r="P40" i="1"/>
  <c r="V10" i="1"/>
  <c r="AD23" i="1"/>
  <c r="AE23" i="1"/>
  <c r="AF23" i="1" s="1"/>
  <c r="AE12" i="1"/>
  <c r="AF12" i="1" s="1"/>
  <c r="AD18" i="1"/>
  <c r="AE18" i="1"/>
  <c r="AF18" i="1" s="1"/>
  <c r="J10" i="1"/>
  <c r="J40" i="1" s="1"/>
  <c r="C10" i="1"/>
  <c r="D10" i="1" s="1"/>
  <c r="G23" i="1"/>
  <c r="H23" i="1" s="1"/>
  <c r="S18" i="1"/>
  <c r="T18" i="1" s="1"/>
  <c r="R18" i="1"/>
  <c r="F24" i="1"/>
  <c r="G24" i="1"/>
  <c r="H24" i="1" s="1"/>
  <c r="X18" i="1"/>
  <c r="Y18" i="1"/>
  <c r="Z18" i="1" s="1"/>
  <c r="AA42" i="1" l="1"/>
  <c r="AB46" i="1"/>
  <c r="AC46" i="1"/>
  <c r="U47" i="1"/>
  <c r="U42" i="1" s="1"/>
  <c r="V46" i="1"/>
  <c r="O47" i="1"/>
  <c r="O42" i="1" s="1"/>
  <c r="O49" i="1" s="1"/>
  <c r="O50" i="1" s="1"/>
  <c r="P46" i="1"/>
  <c r="I47" i="1"/>
  <c r="I42" i="1" s="1"/>
  <c r="I49" i="1" s="1"/>
  <c r="I50" i="1" s="1"/>
  <c r="J46" i="1"/>
  <c r="M18" i="1"/>
  <c r="N18" i="1" s="1"/>
  <c r="E12" i="1"/>
  <c r="G12" i="1" s="1"/>
  <c r="H12" i="1" s="1"/>
  <c r="S19" i="1"/>
  <c r="T19" i="1" s="1"/>
  <c r="M19" i="1"/>
  <c r="N19" i="1" s="1"/>
  <c r="AE21" i="1"/>
  <c r="AF21" i="1" s="1"/>
  <c r="AC19" i="1"/>
  <c r="AE19" i="1" s="1"/>
  <c r="AF19" i="1" s="1"/>
  <c r="L19" i="1"/>
  <c r="R19" i="1"/>
  <c r="E21" i="1"/>
  <c r="AD19" i="1"/>
  <c r="X19" i="1"/>
  <c r="G18" i="1"/>
  <c r="H18" i="1" s="1"/>
  <c r="F23" i="1"/>
  <c r="M46" i="1" l="1"/>
  <c r="L46" i="1"/>
  <c r="S46" i="1"/>
  <c r="R46" i="1"/>
  <c r="X46" i="1"/>
  <c r="Y46" i="1"/>
  <c r="W47" i="1"/>
  <c r="V47" i="1"/>
  <c r="K47" i="1"/>
  <c r="J47" i="1"/>
  <c r="L47" i="1" s="1"/>
  <c r="C47" i="1"/>
  <c r="D47" i="1" s="1"/>
  <c r="Q47" i="1"/>
  <c r="S47" i="1" s="1"/>
  <c r="P47" i="1"/>
  <c r="R47" i="1" s="1"/>
  <c r="C42" i="1"/>
  <c r="D42" i="1" s="1"/>
  <c r="V42" i="1"/>
  <c r="W42" i="1"/>
  <c r="AC42" i="1"/>
  <c r="AE42" i="1" s="1"/>
  <c r="AF42" i="1" s="1"/>
  <c r="AD46" i="1"/>
  <c r="AD42" i="1" s="1"/>
  <c r="AB42" i="1"/>
  <c r="AB49" i="1" s="1"/>
  <c r="AA49" i="1"/>
  <c r="AA50" i="1" s="1"/>
  <c r="F21" i="1"/>
  <c r="F12" i="1"/>
  <c r="G21" i="1"/>
  <c r="H21" i="1" s="1"/>
  <c r="Y19" i="1"/>
  <c r="Z19" i="1" s="1"/>
  <c r="E19" i="1"/>
  <c r="G19" i="1" s="1"/>
  <c r="H19" i="1" s="1"/>
  <c r="P42" i="1" l="1"/>
  <c r="P49" i="1" s="1"/>
  <c r="J42" i="1"/>
  <c r="J49" i="1" s="1"/>
  <c r="Y47" i="1"/>
  <c r="X47" i="1"/>
  <c r="X42" i="1" s="1"/>
  <c r="Q42" i="1"/>
  <c r="S42" i="1" s="1"/>
  <c r="T42" i="1" s="1"/>
  <c r="G46" i="1"/>
  <c r="F46" i="1"/>
  <c r="Y42" i="1"/>
  <c r="Z42" i="1" s="1"/>
  <c r="M47" i="1"/>
  <c r="E47" i="1"/>
  <c r="F47" i="1" s="1"/>
  <c r="R42" i="1"/>
  <c r="L42" i="1"/>
  <c r="K42" i="1"/>
  <c r="M42" i="1" s="1"/>
  <c r="N42" i="1" s="1"/>
  <c r="F19" i="1"/>
  <c r="E42" i="1" l="1"/>
  <c r="V40" i="1"/>
  <c r="V49" i="1" s="1"/>
  <c r="U40" i="1"/>
  <c r="U49" i="1" s="1"/>
  <c r="U50" i="1" s="1"/>
  <c r="F42" i="1" l="1"/>
  <c r="G42" i="1"/>
  <c r="H42" i="1" s="1"/>
  <c r="Y29" i="1"/>
  <c r="Z29" i="1" s="1"/>
  <c r="E29" i="1"/>
  <c r="C40" i="1"/>
  <c r="D40" i="1" s="1"/>
  <c r="C49" i="1"/>
  <c r="D49" i="1" s="1"/>
  <c r="C50" i="1" s="1"/>
  <c r="C29" i="1"/>
  <c r="D29" i="1" s="1"/>
  <c r="G29" i="1" l="1"/>
  <c r="H29" i="1" s="1"/>
  <c r="F29" i="1"/>
  <c r="R13" i="1" l="1"/>
  <c r="R11" i="1" s="1"/>
  <c r="R10" i="1" s="1"/>
  <c r="R40" i="1" s="1"/>
  <c r="R49" i="1" s="1"/>
  <c r="S13" i="1"/>
  <c r="T13" i="1" s="1"/>
  <c r="Y13" i="1"/>
  <c r="Z13" i="1" s="1"/>
  <c r="X13" i="1"/>
  <c r="X11" i="1" s="1"/>
  <c r="X10" i="1" s="1"/>
  <c r="X40" i="1" s="1"/>
  <c r="X49" i="1" s="1"/>
  <c r="E13" i="1"/>
  <c r="A54" i="1" s="1"/>
  <c r="L13" i="1"/>
  <c r="L11" i="1" s="1"/>
  <c r="L10" i="1" s="1"/>
  <c r="L40" i="1" s="1"/>
  <c r="L49" i="1" s="1"/>
  <c r="M13" i="1"/>
  <c r="N13" i="1" s="1"/>
  <c r="AD13" i="1"/>
  <c r="AD11" i="1" s="1"/>
  <c r="AD10" i="1" s="1"/>
  <c r="AD40" i="1" s="1"/>
  <c r="AD49" i="1" s="1"/>
  <c r="AE13" i="1"/>
  <c r="AF13" i="1" s="1"/>
  <c r="AE11" i="1" l="1"/>
  <c r="AF11" i="1" s="1"/>
  <c r="AC10" i="1"/>
  <c r="G13" i="1"/>
  <c r="H13" i="1" s="1"/>
  <c r="F13" i="1"/>
  <c r="E11" i="1"/>
  <c r="M11" i="1"/>
  <c r="N11" i="1" s="1"/>
  <c r="K10" i="1"/>
  <c r="Y11" i="1"/>
  <c r="Z11" i="1" s="1"/>
  <c r="W10" i="1"/>
  <c r="S11" i="1"/>
  <c r="T11" i="1" s="1"/>
  <c r="Y10" i="1" l="1"/>
  <c r="Z10" i="1" s="1"/>
  <c r="W40" i="1"/>
  <c r="K40" i="1"/>
  <c r="M10" i="1"/>
  <c r="N10" i="1" s="1"/>
  <c r="E10" i="1"/>
  <c r="AC40" i="1"/>
  <c r="AE10" i="1"/>
  <c r="AF10" i="1" s="1"/>
  <c r="Q40" i="1"/>
  <c r="S10" i="1"/>
  <c r="T10" i="1" s="1"/>
  <c r="F11" i="1"/>
  <c r="G11" i="1"/>
  <c r="H11" i="1" s="1"/>
  <c r="Q49" i="1" l="1"/>
  <c r="S40" i="1"/>
  <c r="T40" i="1" s="1"/>
  <c r="K49" i="1"/>
  <c r="M40" i="1"/>
  <c r="N40" i="1" s="1"/>
  <c r="E40" i="1"/>
  <c r="AC49" i="1"/>
  <c r="AE40" i="1"/>
  <c r="AF40" i="1" s="1"/>
  <c r="W49" i="1"/>
  <c r="Y40" i="1"/>
  <c r="Z40" i="1" s="1"/>
  <c r="F10" i="1"/>
  <c r="G10" i="1"/>
  <c r="H10" i="1" s="1"/>
  <c r="W50" i="1" l="1"/>
  <c r="Y49" i="1"/>
  <c r="Z49" i="1" s="1"/>
  <c r="K50" i="1"/>
  <c r="M49" i="1"/>
  <c r="N49" i="1" s="1"/>
  <c r="E49" i="1"/>
  <c r="AC50" i="1"/>
  <c r="AE49" i="1"/>
  <c r="AF49" i="1" s="1"/>
  <c r="F40" i="1"/>
  <c r="G40" i="1"/>
  <c r="H40" i="1" s="1"/>
  <c r="Q50" i="1"/>
  <c r="S49" i="1"/>
  <c r="T49" i="1" s="1"/>
  <c r="G49" i="1" l="1"/>
  <c r="H49" i="1" s="1"/>
  <c r="I4" i="2" s="1"/>
  <c r="F49" i="1"/>
  <c r="E50" i="1" s="1"/>
  <c r="C56" i="1" s="1"/>
  <c r="I3" i="2" l="1"/>
  <c r="D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12" authorId="0" shapeId="0" xr:uid="{00000000-0006-0000-0000-000001000000}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Из тарифа</t>
        </r>
      </text>
    </comment>
    <comment ref="K12" authorId="0" shapeId="0" xr:uid="{00000000-0006-0000-0000-000002000000}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ВВЕСТИ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<sst xmlns="http://schemas.openxmlformats.org/spreadsheetml/2006/main" count="137" uniqueCount="102">
  <si>
    <t xml:space="preserve">Структура одноставкових тарифів на теплову енергію  </t>
  </si>
  <si>
    <t>Без ПДВ</t>
  </si>
  <si>
    <t xml:space="preserve">N з/п </t>
  </si>
  <si>
    <t xml:space="preserve">Найменування показників </t>
  </si>
  <si>
    <t xml:space="preserve">Сумарні та середньо зважені показники                  </t>
  </si>
  <si>
    <t>Для потреб населення</t>
  </si>
  <si>
    <t>Для потреб бюджетних установ</t>
  </si>
  <si>
    <t xml:space="preserve">Для потреб інших споживачів </t>
  </si>
  <si>
    <t>тис.грн на рік</t>
  </si>
  <si>
    <t>грн/Гкал</t>
  </si>
  <si>
    <t xml:space="preserve">Виробнича собівартість, у т. ч.: </t>
  </si>
  <si>
    <t xml:space="preserve">прямі матеріальні витрати, у т. ч.: </t>
  </si>
  <si>
    <t xml:space="preserve">паливо </t>
  </si>
  <si>
    <t xml:space="preserve">електроенергія </t>
  </si>
  <si>
    <t xml:space="preserve">покупна теплова енергія та собівартість теплової енергії власних ТЕЦ, ТЕС, АЕС, когенераційних установок </t>
  </si>
  <si>
    <t xml:space="preserve">транспортування теплової енергії тепловими мережами інших підприємств </t>
  </si>
  <si>
    <t xml:space="preserve">вода для технологічних потреб та водовідведення </t>
  </si>
  <si>
    <t xml:space="preserve">матеріали, запасні частини та інші матеріальні ресурси </t>
  </si>
  <si>
    <t xml:space="preserve">інші прямі витрати, у т. ч.: </t>
  </si>
  <si>
    <t xml:space="preserve">відрахування на соціальні заходи </t>
  </si>
  <si>
    <t xml:space="preserve">амортизаційні відрахування </t>
  </si>
  <si>
    <t xml:space="preserve">інші прямі витрати </t>
  </si>
  <si>
    <t xml:space="preserve">загальновиробничі витрати, у т. ч.: </t>
  </si>
  <si>
    <t xml:space="preserve">витрати на оплату праці </t>
  </si>
  <si>
    <t xml:space="preserve">інші витрати </t>
  </si>
  <si>
    <t xml:space="preserve">Адміністративні витрати, у т. ч.: </t>
  </si>
  <si>
    <t xml:space="preserve">Витрати на збут, у т. ч.: </t>
  </si>
  <si>
    <t>Інші операційні витрати</t>
  </si>
  <si>
    <t xml:space="preserve">Фінансові витрати </t>
  </si>
  <si>
    <t>Повна собівартість</t>
  </si>
  <si>
    <t xml:space="preserve">Розрахунковий прибуток, у т. ч.: </t>
  </si>
  <si>
    <t xml:space="preserve">податок на прибуток </t>
  </si>
  <si>
    <t xml:space="preserve">дивіденди </t>
  </si>
  <si>
    <t xml:space="preserve">резервний фонд (капітал) </t>
  </si>
  <si>
    <t xml:space="preserve">на розвиток виробництва (виробничі інвестиції) </t>
  </si>
  <si>
    <t xml:space="preserve">інше використання прибутку </t>
  </si>
  <si>
    <t xml:space="preserve">Вартість  теплової енергії за відповідними тарифами </t>
  </si>
  <si>
    <t>Тарифи на теплову енергію, грн/Гкал</t>
  </si>
  <si>
    <t>1.1</t>
  </si>
  <si>
    <t>1.1.1</t>
  </si>
  <si>
    <t>1.1.2</t>
  </si>
  <si>
    <t>1.1.3</t>
  </si>
  <si>
    <t>1.1.4</t>
  </si>
  <si>
    <t>1.1.5</t>
  </si>
  <si>
    <t>1.1.6</t>
  </si>
  <si>
    <t>1.2</t>
  </si>
  <si>
    <t>1.3</t>
  </si>
  <si>
    <t>1.3.1</t>
  </si>
  <si>
    <t>1.3.2</t>
  </si>
  <si>
    <t>1.3.3</t>
  </si>
  <si>
    <t>1.4</t>
  </si>
  <si>
    <t>1.4.1</t>
  </si>
  <si>
    <t>1.4.3</t>
  </si>
  <si>
    <t>2</t>
  </si>
  <si>
    <t>2.1</t>
  </si>
  <si>
    <t>2.3</t>
  </si>
  <si>
    <t>3.1</t>
  </si>
  <si>
    <t>3.2</t>
  </si>
  <si>
    <t>3.3</t>
  </si>
  <si>
    <t>7.1</t>
  </si>
  <si>
    <t>7.2</t>
  </si>
  <si>
    <t>7.3</t>
  </si>
  <si>
    <t>7.4</t>
  </si>
  <si>
    <t>7.5</t>
  </si>
  <si>
    <t>%</t>
  </si>
  <si>
    <t>Аналіз впливу результатів реалізації програми на структуру тарифу та фінансово-господарську діяльність у прогнозному періоді</t>
  </si>
  <si>
    <t>Відхилення (гр.5-гр.3)</t>
  </si>
  <si>
    <t>Відхилення (гр.11-гр.9)</t>
  </si>
  <si>
    <t>Відхилення (гр.17-гр.15)</t>
  </si>
  <si>
    <t>Відхилення (гр.23-гр.21)</t>
  </si>
  <si>
    <t>Відхилення (гр.13/гр.9*100)</t>
  </si>
  <si>
    <t>Відхилення (гр.25/гр.21*100)</t>
  </si>
  <si>
    <r>
      <t xml:space="preserve">Сумарні та середньо зважені показники  </t>
    </r>
    <r>
      <rPr>
        <b/>
        <sz val="11"/>
        <color theme="3" tint="-0.499984740745262"/>
        <rFont val="Calibri"/>
        <family val="2"/>
        <charset val="204"/>
      </rPr>
      <t>після реалізації  ІП</t>
    </r>
  </si>
  <si>
    <r>
      <t xml:space="preserve">Для потреб населення </t>
    </r>
    <r>
      <rPr>
        <b/>
        <sz val="11"/>
        <color theme="3" tint="-0.499984740745262"/>
        <rFont val="Calibri"/>
        <family val="2"/>
        <charset val="204"/>
      </rPr>
      <t>після реалізації  ІП</t>
    </r>
  </si>
  <si>
    <r>
      <t xml:space="preserve">Для потреб бюджетних установ </t>
    </r>
    <r>
      <rPr>
        <b/>
        <sz val="11"/>
        <color theme="3" tint="-0.499984740745262"/>
        <rFont val="Calibri"/>
        <family val="2"/>
        <charset val="204"/>
      </rPr>
      <t>після реалізації  ІП</t>
    </r>
  </si>
  <si>
    <r>
      <t xml:space="preserve">Для потреб інших споживачів </t>
    </r>
    <r>
      <rPr>
        <b/>
        <sz val="11"/>
        <color theme="3" tint="-0.499984740745262"/>
        <rFont val="Calibri"/>
        <family val="2"/>
        <charset val="204"/>
      </rPr>
      <t>після реалізації  ІП</t>
    </r>
  </si>
  <si>
    <t>Для потреб релігійних організацій</t>
  </si>
  <si>
    <t>Відхилення (гр.31/гр.27*100)</t>
  </si>
  <si>
    <t>Корисний відпуск, Гкал</t>
  </si>
  <si>
    <r>
      <t xml:space="preserve">Для потреб релігійних організацій </t>
    </r>
    <r>
      <rPr>
        <b/>
        <sz val="11"/>
        <color theme="3" tint="-0.499984740745262"/>
        <rFont val="Calibri"/>
        <family val="2"/>
        <charset val="204"/>
      </rPr>
      <t>після реалізації  ІП</t>
    </r>
  </si>
  <si>
    <t>Витрати на покриття втрат</t>
  </si>
  <si>
    <t>прямі витрати на оплату праці з відрахуваннями на соціальні заходи</t>
  </si>
  <si>
    <t>внески на регулювання</t>
  </si>
  <si>
    <t>витрати на оплату праці з відрахуваннями на соціальні заходи</t>
  </si>
  <si>
    <t>1.4.2</t>
  </si>
  <si>
    <t>2.2</t>
  </si>
  <si>
    <t>Коригування витрат</t>
  </si>
  <si>
    <t>зниження собівартості виробництва, транспортування та постачання теплової енергії, закладеної у розрахункових тарифах, складе</t>
  </si>
  <si>
    <t>або</t>
  </si>
  <si>
    <t>грн/
Гкал</t>
  </si>
  <si>
    <t>Відхи-лення (гр.7/гр.3*100)</t>
  </si>
  <si>
    <t>тис.грн 
на рік</t>
  </si>
  <si>
    <t>тис.
грн на рік</t>
  </si>
  <si>
    <t>Відхи-лення (гр.29-гр.27)</t>
  </si>
  <si>
    <t>Відхилення ](гр.19/гр.15*100)</t>
  </si>
  <si>
    <t>тис. грн на рік</t>
  </si>
  <si>
    <t>Для всіх категорій споживачів тарифи на теплову енергію діють згідно постанови НКРЕКП №2254 від 30.11.2020 року.</t>
  </si>
  <si>
    <t>Для файлу "Зобовязання щодо очікуваних результатів"</t>
  </si>
  <si>
    <t>відрахування на соціальні заходи</t>
  </si>
  <si>
    <t>1.3.4</t>
  </si>
  <si>
    <t>1.4.4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</si>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</sst>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3" tint="-0.499984740745262"/>
      <name val="Times New Roman"/>
      <family val="1"/>
      <charset val="204"/>
    </font>
    <font>
      <sz val="11"/>
      <color theme="3" tint="-0.499984740745262"/>
      <name val="Calibri"/>
      <family val="2"/>
      <scheme val="minor"/>
    </font>
    <font>
      <sz val="12"/>
      <color theme="3" tint="-0.499984740745262"/>
      <name val="Times New Roman"/>
      <family val="1"/>
      <charset val="204"/>
    </font>
    <font>
      <b/>
      <sz val="11"/>
      <color theme="3" tint="-0.499984740745262"/>
      <name val="Calibri"/>
      <family val="2"/>
      <charset val="204"/>
    </font>
    <font>
      <b/>
      <sz val="12"/>
      <color theme="3" tint="-0.499984740745262"/>
      <name val="Times New Roman"/>
      <family val="1"/>
      <charset val="204"/>
    </font>
    <font>
      <b/>
      <sz val="11"/>
      <color theme="3" tint="-0.499984740745262"/>
      <name val="Calibri"/>
      <family val="2"/>
    </font>
    <font>
      <b/>
      <sz val="10"/>
      <color theme="3" tint="-0.499984740745262"/>
      <name val="Arial"/>
      <family val="2"/>
      <charset val="204"/>
    </font>
    <font>
      <sz val="10"/>
      <color theme="3" tint="-0.499984740745262"/>
      <name val="Arial"/>
      <family val="2"/>
      <charset val="204"/>
    </font>
    <font>
      <b/>
      <sz val="11"/>
      <color theme="3" tint="-0.499984740745262"/>
      <name val="Calibri"/>
      <family val="2"/>
      <charset val="204"/>
      <scheme val="minor"/>
    </font>
    <font>
      <b/>
      <sz val="20"/>
      <color theme="3" tint="-0.499984740745262"/>
      <name val="Calibri"/>
      <family val="2"/>
      <charset val="204"/>
    </font>
    <font>
      <sz val="11"/>
      <color theme="3" tint="-0.499984740745262"/>
      <name val="Calibri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3" tint="-0.49998474074526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horizontal="center" vertical="center"/>
    </xf>
    <xf numFmtId="0" fontId="4" fillId="0" borderId="0" xfId="0" applyNumberFormat="1" applyFont="1"/>
    <xf numFmtId="0" fontId="4" fillId="0" borderId="0" xfId="0" applyFont="1" applyAlignment="1">
      <alignment wrapText="1"/>
    </xf>
    <xf numFmtId="0" fontId="10" fillId="0" borderId="0" xfId="1" applyFont="1" applyFill="1" applyAlignment="1">
      <alignment horizontal="center" vertical="center"/>
    </xf>
    <xf numFmtId="2" fontId="4" fillId="0" borderId="0" xfId="0" applyNumberFormat="1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5" xfId="1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0" fontId="4" fillId="0" borderId="0" xfId="0" applyNumberFormat="1" applyFont="1"/>
    <xf numFmtId="4" fontId="4" fillId="0" borderId="0" xfId="0" applyNumberFormat="1" applyFont="1"/>
    <xf numFmtId="0" fontId="4" fillId="2" borderId="4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0" fillId="3" borderId="0" xfId="0" applyFill="1"/>
    <xf numFmtId="2" fontId="0" fillId="0" borderId="0" xfId="0" applyNumberFormat="1"/>
    <xf numFmtId="2" fontId="4" fillId="2" borderId="26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166" fontId="0" fillId="0" borderId="0" xfId="0" applyNumberFormat="1"/>
    <xf numFmtId="0" fontId="4" fillId="2" borderId="26" xfId="0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49" fontId="5" fillId="2" borderId="18" xfId="1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/>
    </xf>
    <xf numFmtId="0" fontId="5" fillId="2" borderId="18" xfId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/>
    </xf>
    <xf numFmtId="2" fontId="11" fillId="2" borderId="11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 wrapText="1"/>
    </xf>
    <xf numFmtId="166" fontId="4" fillId="2" borderId="2" xfId="0" applyNumberFormat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9" fillId="2" borderId="0" xfId="1" applyFont="1" applyFill="1" applyAlignment="1">
      <alignment horizontal="center" vertical="center"/>
    </xf>
    <xf numFmtId="0" fontId="4" fillId="2" borderId="0" xfId="0" applyFont="1" applyFill="1"/>
    <xf numFmtId="0" fontId="10" fillId="2" borderId="0" xfId="1" applyFont="1" applyFill="1" applyAlignment="1">
      <alignment horizontal="center" vertical="center"/>
    </xf>
    <xf numFmtId="2" fontId="4" fillId="2" borderId="0" xfId="0" applyNumberFormat="1" applyFont="1" applyFill="1"/>
    <xf numFmtId="0" fontId="22" fillId="0" borderId="0" xfId="1" applyFont="1" applyFill="1" applyAlignment="1">
      <alignment horizontal="left" vertical="center" wrapText="1"/>
    </xf>
    <xf numFmtId="0" fontId="22" fillId="0" borderId="0" xfId="1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3">
    <cellStyle name="Звичайний" xfId="0" builtinId="0"/>
    <cellStyle name="Обычный 3 11 3 2" xfId="2" xr:uid="{00000000-0005-0000-0000-000001000000}"/>
    <cellStyle name="Обычный 5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!!%20&#1056;&#1040;&#1041;&#1054;&#1058;&#1040;%20!!!\&#1110;&#1085;&#1074;&#1077;&#1089;&#1090;&#1080;&#1094;&#1110;&#1081;&#1085;&#1072;%20&#1087;&#1088;&#1086;&#1075;&#1088;&#1072;&#1084;&#1072;\&#1030;&#1055;%20&#1085;&#1072;%202022%20&#1088;&#1110;&#1082;\&#1052;&#1077;&#1085;&#1072;\&#1074;&#1110;&#1076;%20&#1058;&#1050;-15%20&#1076;&#1086;%20&#1050;&#1055;&#104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!!%20&#1056;&#1040;&#1041;&#1054;&#1058;&#1040;%20!!!\&#1110;&#1085;&#1074;&#1077;&#1089;&#1090;&#1080;&#1094;&#1110;&#1081;&#1085;&#1072;%20&#1087;&#1088;&#1086;&#1075;&#1088;&#1072;&#1084;&#1072;\&#1030;&#1055;%20&#1085;&#1072;%202020%20&#1088;&#1110;&#1082;\&#1052;&#1077;&#1088;&#1086;&#1087;&#1088;&#1080;&#1103;&#1090;&#1080;&#1103;\&#1058;&#1077;&#1087;&#1083;&#1086;&#1074;&#1110;%20&#1084;&#1077;&#1088;&#1077;&#1078;&#1110;\&#1058;&#1050;-37%20-%20&#1078;.&#1076;.%20&#1057;&#1072;&#1074;&#1095;&#1091;&#1082;&#1072;,%207&#1072;\&#1047;&#1072;&#1075;&#1072;&#1083;&#1100;&#1085;&#1080;&#1081;%20&#1088;&#1086;&#1079;&#1088;&#1072;&#1093;&#1091;&#1085;&#1086;&#10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!!%20&#1056;&#1040;&#1041;&#1054;&#1058;&#1040;%20!!!\&#1110;&#1085;&#1074;&#1077;&#1089;&#1090;&#1080;&#1094;&#1110;&#1081;&#1085;&#1072;%20&#1087;&#1088;&#1086;&#1075;&#1088;&#1072;&#1084;&#1072;\&#1030;&#1055;%20&#1085;&#1072;%202020%20&#1088;&#1110;&#1082;\&#1052;&#1077;&#1088;&#1086;&#1087;&#1088;&#1080;&#1103;&#1090;&#1080;&#1103;\&#1058;&#1077;&#1087;&#1083;&#1086;&#1074;&#1110;%20&#1084;&#1077;&#1088;&#1077;&#1078;&#1110;\&#1058;&#1050;11-&#1058;&#1050;12%20&#1074;&#1110;&#1076;%20&#1041;&#1108;&#1083;&#1086;&#1074;&#1072;,%206&#1072;%20VII\&#1058;&#1045;&#1054;%20&#1058;&#1050;11%20-%20&#1058;&#1050;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п граф"/>
      <sheetName val="норм втрати"/>
      <sheetName val="розрах втрат тр. ОП+ГВП"/>
      <sheetName val="ТЕО для ОП+ГВП"/>
      <sheetName val="допоміжн інф"/>
      <sheetName val="Отчет о совместимости"/>
    </sheetNames>
    <sheetDataSet>
      <sheetData sheetId="0"/>
      <sheetData sheetId="1"/>
      <sheetData sheetId="2"/>
      <sheetData sheetId="3">
        <row r="23">
          <cell r="E23">
            <v>1441.5060964915319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0">
          <cell r="M20">
            <v>117203.11166666666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п граф"/>
      <sheetName val="норм втрати"/>
      <sheetName val="розрах втрат магістр тр."/>
      <sheetName val="ТЕО для МОП"/>
      <sheetName val="допоміжн інф"/>
    </sheetNames>
    <sheetDataSet>
      <sheetData sheetId="0" refreshError="1"/>
      <sheetData sheetId="1" refreshError="1"/>
      <sheetData sheetId="2" refreshError="1"/>
      <sheetData sheetId="3" refreshError="1">
        <row r="12">
          <cell r="E12">
            <v>56879.403497149804</v>
          </cell>
        </row>
        <row r="20">
          <cell r="G20">
            <v>20807.7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F60"/>
  <sheetViews>
    <sheetView tabSelected="1" view="pageBreakPreview" zoomScale="80" zoomScaleNormal="85" zoomScaleSheetLayoutView="8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C56" sqref="C56"/>
    </sheetView>
  </sheetViews>
  <sheetFormatPr defaultColWidth="9.109375" defaultRowHeight="14.4" x14ac:dyDescent="0.3"/>
  <cols>
    <col min="1" max="1" width="6.33203125" style="6" customWidth="1"/>
    <col min="2" max="2" width="67" style="2" customWidth="1"/>
    <col min="3" max="3" width="10" style="2" customWidth="1"/>
    <col min="4" max="4" width="7.88671875" style="2" customWidth="1"/>
    <col min="5" max="5" width="10.6640625" style="2" customWidth="1"/>
    <col min="6" max="6" width="8" style="2" customWidth="1"/>
    <col min="7" max="7" width="7.6640625" style="2" customWidth="1"/>
    <col min="8" max="8" width="9.109375" style="2" customWidth="1"/>
    <col min="9" max="9" width="10.33203125" style="2" customWidth="1"/>
    <col min="10" max="10" width="7.88671875" style="2" customWidth="1"/>
    <col min="11" max="11" width="10.33203125" style="2" customWidth="1"/>
    <col min="12" max="12" width="7.88671875" style="2" customWidth="1"/>
    <col min="13" max="13" width="7.44140625" style="2" customWidth="1"/>
    <col min="14" max="14" width="5.44140625" style="2" customWidth="1"/>
    <col min="15" max="15" width="10.44140625" style="2" customWidth="1"/>
    <col min="16" max="16" width="8" style="2" customWidth="1"/>
    <col min="17" max="17" width="10.33203125" style="2" customWidth="1"/>
    <col min="18" max="18" width="8.44140625" style="2" customWidth="1"/>
    <col min="19" max="19" width="6.6640625" style="2" customWidth="1"/>
    <col min="20" max="20" width="5.44140625" style="2" customWidth="1"/>
    <col min="21" max="21" width="9.109375" style="2" customWidth="1"/>
    <col min="22" max="22" width="7.88671875" style="2" customWidth="1"/>
    <col min="23" max="23" width="9" style="2" customWidth="1"/>
    <col min="24" max="24" width="8" style="2" customWidth="1"/>
    <col min="25" max="25" width="7.109375" style="2" customWidth="1"/>
    <col min="26" max="26" width="4.88671875" style="2" customWidth="1"/>
    <col min="27" max="27" width="8" style="2" customWidth="1"/>
    <col min="28" max="28" width="9.109375" style="2" customWidth="1"/>
    <col min="29" max="30" width="8" style="2" customWidth="1"/>
    <col min="31" max="31" width="6.88671875" style="2" customWidth="1"/>
    <col min="32" max="32" width="4.109375" style="2" customWidth="1"/>
    <col min="33" max="16384" width="9.109375" style="2"/>
  </cols>
  <sheetData>
    <row r="1" spans="1:32" x14ac:dyDescent="0.3">
      <c r="A1" s="1"/>
    </row>
    <row r="2" spans="1:32" ht="15.75" customHeight="1" x14ac:dyDescent="0.3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5.75" customHeight="1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2" ht="47.25" customHeight="1" thickBot="1" x14ac:dyDescent="0.35">
      <c r="A4" s="3"/>
      <c r="G4" s="7"/>
    </row>
    <row r="5" spans="1:32" ht="15" hidden="1" customHeight="1" x14ac:dyDescent="0.3">
      <c r="A5" s="4" t="s">
        <v>0</v>
      </c>
    </row>
    <row r="6" spans="1:32" ht="15" hidden="1" customHeight="1" thickBot="1" x14ac:dyDescent="0.35">
      <c r="A6" s="3"/>
      <c r="V6" s="2" t="s">
        <v>1</v>
      </c>
      <c r="X6" s="2" t="s">
        <v>1</v>
      </c>
      <c r="AB6" s="2" t="s">
        <v>1</v>
      </c>
      <c r="AD6" s="2" t="s">
        <v>1</v>
      </c>
    </row>
    <row r="7" spans="1:32" s="5" customFormat="1" ht="160.5" customHeight="1" x14ac:dyDescent="0.3">
      <c r="A7" s="84" t="s">
        <v>2</v>
      </c>
      <c r="B7" s="90" t="s">
        <v>3</v>
      </c>
      <c r="C7" s="88" t="s">
        <v>4</v>
      </c>
      <c r="D7" s="89"/>
      <c r="E7" s="86" t="s">
        <v>72</v>
      </c>
      <c r="F7" s="87"/>
      <c r="G7" s="48" t="s">
        <v>66</v>
      </c>
      <c r="H7" s="44" t="s">
        <v>90</v>
      </c>
      <c r="I7" s="80" t="s">
        <v>5</v>
      </c>
      <c r="J7" s="81"/>
      <c r="K7" s="82" t="s">
        <v>73</v>
      </c>
      <c r="L7" s="83"/>
      <c r="M7" s="47" t="s">
        <v>67</v>
      </c>
      <c r="N7" s="46" t="s">
        <v>70</v>
      </c>
      <c r="O7" s="80" t="s">
        <v>6</v>
      </c>
      <c r="P7" s="81"/>
      <c r="Q7" s="82" t="s">
        <v>74</v>
      </c>
      <c r="R7" s="83"/>
      <c r="S7" s="47" t="s">
        <v>68</v>
      </c>
      <c r="T7" s="46" t="s">
        <v>94</v>
      </c>
      <c r="U7" s="80" t="s">
        <v>7</v>
      </c>
      <c r="V7" s="81"/>
      <c r="W7" s="82" t="s">
        <v>75</v>
      </c>
      <c r="X7" s="83"/>
      <c r="Y7" s="48" t="s">
        <v>69</v>
      </c>
      <c r="Z7" s="44" t="s">
        <v>71</v>
      </c>
      <c r="AA7" s="80" t="s">
        <v>76</v>
      </c>
      <c r="AB7" s="81"/>
      <c r="AC7" s="82" t="s">
        <v>79</v>
      </c>
      <c r="AD7" s="83"/>
      <c r="AE7" s="48" t="s">
        <v>93</v>
      </c>
      <c r="AF7" s="45" t="s">
        <v>77</v>
      </c>
    </row>
    <row r="8" spans="1:32" ht="63.75" customHeight="1" thickBot="1" x14ac:dyDescent="0.35">
      <c r="A8" s="85"/>
      <c r="B8" s="91"/>
      <c r="C8" s="8" t="s">
        <v>8</v>
      </c>
      <c r="D8" s="12" t="s">
        <v>89</v>
      </c>
      <c r="E8" s="11" t="s">
        <v>8</v>
      </c>
      <c r="F8" s="9" t="s">
        <v>89</v>
      </c>
      <c r="G8" s="9" t="s">
        <v>95</v>
      </c>
      <c r="H8" s="13" t="s">
        <v>64</v>
      </c>
      <c r="I8" s="8" t="s">
        <v>8</v>
      </c>
      <c r="J8" s="12" t="s">
        <v>89</v>
      </c>
      <c r="K8" s="11" t="s">
        <v>91</v>
      </c>
      <c r="L8" s="9" t="s">
        <v>89</v>
      </c>
      <c r="M8" s="9" t="s">
        <v>92</v>
      </c>
      <c r="N8" s="13" t="s">
        <v>64</v>
      </c>
      <c r="O8" s="8" t="s">
        <v>91</v>
      </c>
      <c r="P8" s="12" t="s">
        <v>89</v>
      </c>
      <c r="Q8" s="11" t="s">
        <v>91</v>
      </c>
      <c r="R8" s="9" t="s">
        <v>89</v>
      </c>
      <c r="S8" s="9" t="s">
        <v>8</v>
      </c>
      <c r="T8" s="13" t="s">
        <v>64</v>
      </c>
      <c r="U8" s="8" t="s">
        <v>8</v>
      </c>
      <c r="V8" s="12" t="s">
        <v>89</v>
      </c>
      <c r="W8" s="11" t="s">
        <v>8</v>
      </c>
      <c r="X8" s="9" t="s">
        <v>89</v>
      </c>
      <c r="Y8" s="9" t="s">
        <v>95</v>
      </c>
      <c r="Z8" s="13" t="s">
        <v>64</v>
      </c>
      <c r="AA8" s="8" t="s">
        <v>8</v>
      </c>
      <c r="AB8" s="12" t="s">
        <v>9</v>
      </c>
      <c r="AC8" s="11" t="s">
        <v>8</v>
      </c>
      <c r="AD8" s="9" t="s">
        <v>89</v>
      </c>
      <c r="AE8" s="9" t="s">
        <v>95</v>
      </c>
      <c r="AF8" s="10" t="s">
        <v>64</v>
      </c>
    </row>
    <row r="9" spans="1:32" ht="16.2" thickBot="1" x14ac:dyDescent="0.35">
      <c r="A9" s="15">
        <v>1</v>
      </c>
      <c r="B9" s="16">
        <v>2</v>
      </c>
      <c r="C9" s="17">
        <v>3</v>
      </c>
      <c r="D9" s="18">
        <v>4</v>
      </c>
      <c r="E9" s="19">
        <v>5</v>
      </c>
      <c r="F9" s="20">
        <v>6</v>
      </c>
      <c r="G9" s="20">
        <v>7</v>
      </c>
      <c r="H9" s="21">
        <v>8</v>
      </c>
      <c r="I9" s="17">
        <v>9</v>
      </c>
      <c r="J9" s="18">
        <v>10</v>
      </c>
      <c r="K9" s="19">
        <v>11</v>
      </c>
      <c r="L9" s="20">
        <v>12</v>
      </c>
      <c r="M9" s="20">
        <v>13</v>
      </c>
      <c r="N9" s="21">
        <v>14</v>
      </c>
      <c r="O9" s="17">
        <v>15</v>
      </c>
      <c r="P9" s="18">
        <v>16</v>
      </c>
      <c r="Q9" s="19">
        <v>17</v>
      </c>
      <c r="R9" s="20">
        <v>16</v>
      </c>
      <c r="S9" s="20">
        <v>19</v>
      </c>
      <c r="T9" s="21">
        <v>20</v>
      </c>
      <c r="U9" s="17">
        <v>21</v>
      </c>
      <c r="V9" s="18">
        <v>22</v>
      </c>
      <c r="W9" s="19">
        <v>23</v>
      </c>
      <c r="X9" s="20">
        <v>22</v>
      </c>
      <c r="Y9" s="20">
        <v>25</v>
      </c>
      <c r="Z9" s="21">
        <v>26</v>
      </c>
      <c r="AA9" s="17">
        <v>27</v>
      </c>
      <c r="AB9" s="18">
        <v>28</v>
      </c>
      <c r="AC9" s="19">
        <v>29</v>
      </c>
      <c r="AD9" s="20">
        <v>30</v>
      </c>
      <c r="AE9" s="20">
        <v>31</v>
      </c>
      <c r="AF9" s="18">
        <v>32</v>
      </c>
    </row>
    <row r="10" spans="1:32" s="14" customFormat="1" ht="22.5" customHeight="1" x14ac:dyDescent="0.3">
      <c r="A10" s="51">
        <v>1</v>
      </c>
      <c r="B10" s="52" t="s">
        <v>10</v>
      </c>
      <c r="C10" s="53">
        <f>I10+O10+U10+AA10</f>
        <v>17117.113243077831</v>
      </c>
      <c r="D10" s="54">
        <f t="shared" ref="D10:D41" si="0">C10/$C$52*1000</f>
        <v>2649.6492237854409</v>
      </c>
      <c r="E10" s="55">
        <f>K10+Q10+W10+AC10</f>
        <v>17115.671736981341</v>
      </c>
      <c r="F10" s="56">
        <f t="shared" ref="F10:F41" si="1">E10/$C$52*1000</f>
        <v>2649.4260853709548</v>
      </c>
      <c r="G10" s="56">
        <f>E10-C10</f>
        <v>-1.44150609648932</v>
      </c>
      <c r="H10" s="57">
        <f>G10/C10*100</f>
        <v>-8.4214322591589195E-3</v>
      </c>
      <c r="I10" s="53">
        <f>I11+I18+I19+I24</f>
        <v>3754.6370740644802</v>
      </c>
      <c r="J10" s="54">
        <f>J11+J18+J19+J24</f>
        <v>1820.753601549605</v>
      </c>
      <c r="K10" s="55">
        <f>K11+K18+K19+K24</f>
        <v>3754.176932855386</v>
      </c>
      <c r="L10" s="56">
        <f>L11+L18+L19+L24</f>
        <v>1719.2590795258207</v>
      </c>
      <c r="M10" s="56">
        <f>K10-I10</f>
        <v>-0.46014120909421763</v>
      </c>
      <c r="N10" s="57">
        <f>M10/I10*100</f>
        <v>-1.2255277940781219E-2</v>
      </c>
      <c r="O10" s="53">
        <f>O11+O18+O19+O24</f>
        <v>10871.61714721819</v>
      </c>
      <c r="P10" s="54">
        <f>P11+P18+P19+P24</f>
        <v>3025.4153559972251</v>
      </c>
      <c r="Q10" s="55">
        <f>Q11+Q18+Q19+Q24</f>
        <v>10870.815315030644</v>
      </c>
      <c r="R10" s="56">
        <f>R11+R18+R19+R24</f>
        <v>2925.9397198509414</v>
      </c>
      <c r="S10" s="56">
        <f>Q10-O10</f>
        <v>-0.80183218754609697</v>
      </c>
      <c r="T10" s="57">
        <f>S10/O10*100</f>
        <v>-7.3754638034808674E-3</v>
      </c>
      <c r="U10" s="53">
        <f>U11+U18+U19+U24</f>
        <v>2490.8590217951623</v>
      </c>
      <c r="V10" s="54">
        <f>V11+V18+V19+V24</f>
        <v>3095.8501336923036</v>
      </c>
      <c r="W10" s="55">
        <f>W11+W18+W19+W24</f>
        <v>2490.679489095312</v>
      </c>
      <c r="X10" s="56">
        <f>X11+X18+X19+X24</f>
        <v>2994.3648818104889</v>
      </c>
      <c r="Y10" s="56">
        <f>W10-U10</f>
        <v>-0.17953269985036968</v>
      </c>
      <c r="Z10" s="57">
        <f>Y10/U10*100</f>
        <v>-7.207662026612026E-3</v>
      </c>
      <c r="AA10" s="53">
        <f>AA11+AA18+AA19+AA24</f>
        <v>0</v>
      </c>
      <c r="AB10" s="54" t="e">
        <f>AB11+AB18+AB19+AB24</f>
        <v>#DIV/0!</v>
      </c>
      <c r="AC10" s="55">
        <f>AC11+AC18+AC19+AC24</f>
        <v>0</v>
      </c>
      <c r="AD10" s="56" t="e">
        <f>AD11+AD18+AD19+AD24</f>
        <v>#DIV/0!</v>
      </c>
      <c r="AE10" s="56">
        <f>AC10-AA10</f>
        <v>0</v>
      </c>
      <c r="AF10" s="58" t="e">
        <f>AE10/AA10*100</f>
        <v>#DIV/0!</v>
      </c>
    </row>
    <row r="11" spans="1:32" s="14" customFormat="1" ht="22.5" customHeight="1" x14ac:dyDescent="0.3">
      <c r="A11" s="59" t="s">
        <v>38</v>
      </c>
      <c r="B11" s="60" t="s">
        <v>11</v>
      </c>
      <c r="C11" s="29">
        <f t="shared" ref="C11:C49" si="2">I11+O11+U11+AA11</f>
        <v>13271.66196721278</v>
      </c>
      <c r="D11" s="27">
        <f t="shared" si="0"/>
        <v>2054.391317647498</v>
      </c>
      <c r="E11" s="33">
        <f t="shared" ref="E11:E49" si="3">K11+Q11+W11+AC11</f>
        <v>13270.220461116289</v>
      </c>
      <c r="F11" s="25">
        <f t="shared" si="1"/>
        <v>2054.1681792330114</v>
      </c>
      <c r="G11" s="25">
        <f t="shared" ref="G11:G49" si="4">E11-C11</f>
        <v>-1.441506096491139</v>
      </c>
      <c r="H11" s="26">
        <f t="shared" ref="H11:H33" si="5">G11/C11*100</f>
        <v>-1.0861534147361003E-2</v>
      </c>
      <c r="I11" s="29">
        <f>I12+I13+I14+I15+I16+I17</f>
        <v>2513.2713956199386</v>
      </c>
      <c r="J11" s="27">
        <f>J12+J13+J14+J15+J16+J17</f>
        <v>1218.7723753265266</v>
      </c>
      <c r="K11" s="33">
        <f>K12+K13+K14+K15+K16+K17</f>
        <v>2512.8112544108444</v>
      </c>
      <c r="L11" s="25">
        <f>L12+L13+L14+L15+L16+L17</f>
        <v>1218.5492369120398</v>
      </c>
      <c r="M11" s="25">
        <f t="shared" ref="M11:M33" si="6">K11-I11</f>
        <v>-0.46014120909421763</v>
      </c>
      <c r="N11" s="26">
        <f t="shared" ref="N11:N33" si="7">M11/I11*100</f>
        <v>-1.8308456854128023E-2</v>
      </c>
      <c r="O11" s="29">
        <f>O12+O13+O14+O15+O16+O17</f>
        <v>8751.8289813111205</v>
      </c>
      <c r="P11" s="27">
        <f>P12+P13+P14+P15+P16+P17</f>
        <v>2435.5086676222163</v>
      </c>
      <c r="Q11" s="33">
        <f>Q12+Q13+Q14+Q15+Q16+Q17</f>
        <v>8751.0271491235744</v>
      </c>
      <c r="R11" s="25">
        <f>R12+R13+R14+R15+R16+R17</f>
        <v>2435.2855292077297</v>
      </c>
      <c r="S11" s="25">
        <f t="shared" ref="S11:S33" si="8">Q11-O11</f>
        <v>-0.80183218754609697</v>
      </c>
      <c r="T11" s="26">
        <f t="shared" ref="T11:T33" si="9">S11/O11*100</f>
        <v>-9.1618813536958957E-3</v>
      </c>
      <c r="U11" s="24">
        <f>U12+U13+U14+U15+U16+U17</f>
        <v>2006.5615902817208</v>
      </c>
      <c r="V11" s="27">
        <f>V12+V13+V14+V15+V16+V17</f>
        <v>2493.9243502663226</v>
      </c>
      <c r="W11" s="33">
        <f>W12+W13+W14+W15+W16+W17</f>
        <v>2006.3820575818706</v>
      </c>
      <c r="X11" s="25">
        <f>X12+X13+X14+X15+X16+X17</f>
        <v>2493.701211851836</v>
      </c>
      <c r="Y11" s="25">
        <f t="shared" ref="Y11:Y33" si="10">W11-U11</f>
        <v>-0.17953269985014231</v>
      </c>
      <c r="Z11" s="26">
        <f t="shared" ref="Z11:Z33" si="11">Y11/U11*100</f>
        <v>-8.9472807971439326E-3</v>
      </c>
      <c r="AA11" s="29">
        <f>AA12+AA13+AA14+AA15+AA16+AA17</f>
        <v>0</v>
      </c>
      <c r="AB11" s="27" t="e">
        <f>AB12+AB13+AB14+AB15+AB16+AB17</f>
        <v>#DIV/0!</v>
      </c>
      <c r="AC11" s="33">
        <f>AC12+AC13+AC14+AC15+AC16+AC17</f>
        <v>0</v>
      </c>
      <c r="AD11" s="25" t="e">
        <f>AD12+AD13+AD14+AD15+AD16+AD17</f>
        <v>#DIV/0!</v>
      </c>
      <c r="AE11" s="25">
        <f t="shared" ref="AE11:AE33" si="12">AC11-AA11</f>
        <v>0</v>
      </c>
      <c r="AF11" s="39" t="e">
        <f t="shared" ref="AF11:AF33" si="13">AE11/AA11*100</f>
        <v>#DIV/0!</v>
      </c>
    </row>
    <row r="12" spans="1:32" s="14" customFormat="1" ht="22.5" customHeight="1" x14ac:dyDescent="0.3">
      <c r="A12" s="61" t="s">
        <v>39</v>
      </c>
      <c r="B12" s="62" t="s">
        <v>12</v>
      </c>
      <c r="C12" s="29">
        <f t="shared" si="2"/>
        <v>12834.057628826904</v>
      </c>
      <c r="D12" s="27">
        <f t="shared" si="0"/>
        <v>1986.6522088933873</v>
      </c>
      <c r="E12" s="33">
        <f t="shared" si="3"/>
        <v>12832.616122730413</v>
      </c>
      <c r="F12" s="25">
        <f t="shared" si="1"/>
        <v>1986.4290704789007</v>
      </c>
      <c r="G12" s="25">
        <f t="shared" si="4"/>
        <v>-1.441506096491139</v>
      </c>
      <c r="H12" s="63">
        <f>G12/C12*100</f>
        <v>-1.1231881125836115E-2</v>
      </c>
      <c r="I12" s="29">
        <v>2373.2527561342881</v>
      </c>
      <c r="J12" s="27">
        <f t="shared" ref="J12:J18" si="14">I12/$I$52*1000</f>
        <v>1150.8724859101583</v>
      </c>
      <c r="K12" s="33">
        <f>I12-'[1]ТЕО для ОП+ГВП'!$E$23/1000*K52/E52</f>
        <v>2372.7926149251939</v>
      </c>
      <c r="L12" s="25">
        <f t="shared" ref="L12" si="15">K12/$I$52*1000</f>
        <v>1150.6493474956715</v>
      </c>
      <c r="M12" s="25">
        <f t="shared" ref="M12" si="16">K12-I12</f>
        <v>-0.46014120909421763</v>
      </c>
      <c r="N12" s="26">
        <f t="shared" ref="N12" si="17">M12/I12*100</f>
        <v>-1.938863055799106E-2</v>
      </c>
      <c r="O12" s="29">
        <v>8508.8731069556288</v>
      </c>
      <c r="P12" s="27">
        <f t="shared" ref="P12:P18" si="18">O12/$O$52*1000</f>
        <v>2367.8975272416046</v>
      </c>
      <c r="Q12" s="33">
        <f>O12-'[1]ТЕО для ОП+ГВП'!$E$23/1000*O52/E52</f>
        <v>8508.0712747680827</v>
      </c>
      <c r="R12" s="25">
        <f t="shared" ref="R12" si="19">Q12/$O$52*1000</f>
        <v>2367.674388827118</v>
      </c>
      <c r="S12" s="25">
        <f t="shared" ref="S12" si="20">Q12-O12</f>
        <v>-0.80183218754609697</v>
      </c>
      <c r="T12" s="26">
        <f t="shared" ref="T12" si="21">S12/O12*100</f>
        <v>-9.423482727585095E-3</v>
      </c>
      <c r="U12" s="24">
        <v>1951.9317657369861</v>
      </c>
      <c r="V12" s="27">
        <f t="shared" ref="V12:V18" si="22">U12/$U$52*1000</f>
        <v>2426.0257867022897</v>
      </c>
      <c r="W12" s="33">
        <f>U12-'[1]ТЕО для ОП+ГВП'!$E$23/1000*W52/E52</f>
        <v>1951.752233037136</v>
      </c>
      <c r="X12" s="25">
        <f t="shared" ref="X12" si="23">W12/$U$52*1000</f>
        <v>2425.8026482878031</v>
      </c>
      <c r="Y12" s="25">
        <f t="shared" ref="Y12" si="24">W12-U12</f>
        <v>-0.17953269985014231</v>
      </c>
      <c r="Z12" s="26">
        <f t="shared" ref="Z12" si="25">Y12/U12*100</f>
        <v>-9.1976934338356131E-3</v>
      </c>
      <c r="AA12" s="29">
        <v>0</v>
      </c>
      <c r="AB12" s="27" t="e">
        <f t="shared" ref="AB12:AB18" si="26">AA12/$AA$52*1000</f>
        <v>#DIV/0!</v>
      </c>
      <c r="AC12" s="33">
        <f>AA12</f>
        <v>0</v>
      </c>
      <c r="AD12" s="25" t="e">
        <f t="shared" ref="AD12:AD18" si="27">AC12/$AA$52*1000</f>
        <v>#DIV/0!</v>
      </c>
      <c r="AE12" s="25">
        <f t="shared" si="12"/>
        <v>0</v>
      </c>
      <c r="AF12" s="39" t="e">
        <f t="shared" si="13"/>
        <v>#DIV/0!</v>
      </c>
    </row>
    <row r="13" spans="1:32" s="14" customFormat="1" ht="22.5" customHeight="1" x14ac:dyDescent="0.3">
      <c r="A13" s="61" t="s">
        <v>40</v>
      </c>
      <c r="B13" s="62" t="s">
        <v>13</v>
      </c>
      <c r="C13" s="29">
        <f t="shared" si="2"/>
        <v>413.587749508</v>
      </c>
      <c r="D13" s="27">
        <f t="shared" si="0"/>
        <v>64.021452910245074</v>
      </c>
      <c r="E13" s="33">
        <f t="shared" si="3"/>
        <v>413.587749508</v>
      </c>
      <c r="F13" s="25">
        <f t="shared" si="1"/>
        <v>64.021452910245074</v>
      </c>
      <c r="G13" s="25">
        <f t="shared" si="4"/>
        <v>0</v>
      </c>
      <c r="H13" s="26">
        <f t="shared" si="5"/>
        <v>0</v>
      </c>
      <c r="I13" s="29">
        <v>132.31278105262041</v>
      </c>
      <c r="J13" s="27">
        <f t="shared" si="14"/>
        <v>64.16305168259936</v>
      </c>
      <c r="K13" s="33">
        <f>I13</f>
        <v>132.31278105262041</v>
      </c>
      <c r="L13" s="25">
        <f t="shared" ref="L13:L18" si="28">K13/$I$52*1000</f>
        <v>64.16305168259936</v>
      </c>
      <c r="M13" s="25">
        <f t="shared" si="6"/>
        <v>0</v>
      </c>
      <c r="N13" s="26">
        <f t="shared" si="7"/>
        <v>0</v>
      </c>
      <c r="O13" s="29">
        <v>229.65160145059775</v>
      </c>
      <c r="P13" s="27">
        <f t="shared" si="18"/>
        <v>63.908751766132156</v>
      </c>
      <c r="Q13" s="33">
        <f>O13</f>
        <v>229.65160145059775</v>
      </c>
      <c r="R13" s="25">
        <f t="shared" ref="R13:R18" si="29">Q13/$O$52*1000</f>
        <v>63.908751766132156</v>
      </c>
      <c r="S13" s="25">
        <f t="shared" si="8"/>
        <v>0</v>
      </c>
      <c r="T13" s="26">
        <f t="shared" si="9"/>
        <v>0</v>
      </c>
      <c r="U13" s="29">
        <v>51.623367004781784</v>
      </c>
      <c r="V13" s="27">
        <f t="shared" si="22"/>
        <v>64.161884010689448</v>
      </c>
      <c r="W13" s="33">
        <f>U13</f>
        <v>51.623367004781784</v>
      </c>
      <c r="X13" s="25">
        <f t="shared" ref="X13:X18" si="30">W13/$U$52*1000</f>
        <v>64.161884010689448</v>
      </c>
      <c r="Y13" s="25">
        <f t="shared" si="10"/>
        <v>0</v>
      </c>
      <c r="Z13" s="26">
        <f t="shared" si="11"/>
        <v>0</v>
      </c>
      <c r="AA13" s="29">
        <v>0</v>
      </c>
      <c r="AB13" s="27" t="e">
        <f t="shared" si="26"/>
        <v>#DIV/0!</v>
      </c>
      <c r="AC13" s="33">
        <f>AA13</f>
        <v>0</v>
      </c>
      <c r="AD13" s="25" t="e">
        <f t="shared" si="27"/>
        <v>#DIV/0!</v>
      </c>
      <c r="AE13" s="25">
        <f t="shared" si="12"/>
        <v>0</v>
      </c>
      <c r="AF13" s="39" t="e">
        <f t="shared" si="13"/>
        <v>#DIV/0!</v>
      </c>
    </row>
    <row r="14" spans="1:32" s="14" customFormat="1" ht="28.8" x14ac:dyDescent="0.3">
      <c r="A14" s="61" t="s">
        <v>41</v>
      </c>
      <c r="B14" s="64" t="s">
        <v>14</v>
      </c>
      <c r="C14" s="29">
        <f t="shared" si="2"/>
        <v>0</v>
      </c>
      <c r="D14" s="27">
        <f t="shared" si="0"/>
        <v>0</v>
      </c>
      <c r="E14" s="33">
        <f t="shared" si="3"/>
        <v>0</v>
      </c>
      <c r="F14" s="25">
        <f t="shared" si="1"/>
        <v>0</v>
      </c>
      <c r="G14" s="25">
        <f t="shared" si="4"/>
        <v>0</v>
      </c>
      <c r="H14" s="26" t="e">
        <f t="shared" si="5"/>
        <v>#DIV/0!</v>
      </c>
      <c r="I14" s="29">
        <v>0</v>
      </c>
      <c r="J14" s="27">
        <f t="shared" si="14"/>
        <v>0</v>
      </c>
      <c r="K14" s="33">
        <f>I14</f>
        <v>0</v>
      </c>
      <c r="L14" s="27">
        <f t="shared" si="28"/>
        <v>0</v>
      </c>
      <c r="M14" s="25">
        <f t="shared" si="6"/>
        <v>0</v>
      </c>
      <c r="N14" s="26" t="e">
        <f t="shared" si="7"/>
        <v>#DIV/0!</v>
      </c>
      <c r="O14" s="29">
        <v>0</v>
      </c>
      <c r="P14" s="27">
        <f t="shared" si="18"/>
        <v>0</v>
      </c>
      <c r="Q14" s="33">
        <f>O14</f>
        <v>0</v>
      </c>
      <c r="R14" s="25">
        <f t="shared" si="29"/>
        <v>0</v>
      </c>
      <c r="S14" s="25">
        <f t="shared" si="8"/>
        <v>0</v>
      </c>
      <c r="T14" s="26" t="e">
        <f t="shared" si="9"/>
        <v>#DIV/0!</v>
      </c>
      <c r="U14" s="24">
        <v>0</v>
      </c>
      <c r="V14" s="40">
        <f t="shared" si="22"/>
        <v>0</v>
      </c>
      <c r="W14" s="33">
        <f>U14</f>
        <v>0</v>
      </c>
      <c r="X14" s="25">
        <f t="shared" si="30"/>
        <v>0</v>
      </c>
      <c r="Y14" s="25">
        <f t="shared" si="10"/>
        <v>0</v>
      </c>
      <c r="Z14" s="26">
        <v>0</v>
      </c>
      <c r="AA14" s="29">
        <v>0</v>
      </c>
      <c r="AB14" s="40" t="e">
        <f t="shared" si="26"/>
        <v>#DIV/0!</v>
      </c>
      <c r="AC14" s="33">
        <f>AA14</f>
        <v>0</v>
      </c>
      <c r="AD14" s="25" t="e">
        <f t="shared" si="27"/>
        <v>#DIV/0!</v>
      </c>
      <c r="AE14" s="25">
        <f t="shared" si="12"/>
        <v>0</v>
      </c>
      <c r="AF14" s="39">
        <v>0</v>
      </c>
    </row>
    <row r="15" spans="1:32" s="14" customFormat="1" ht="28.8" x14ac:dyDescent="0.3">
      <c r="A15" s="61" t="s">
        <v>42</v>
      </c>
      <c r="B15" s="64" t="s">
        <v>15</v>
      </c>
      <c r="C15" s="29">
        <f t="shared" si="2"/>
        <v>0</v>
      </c>
      <c r="D15" s="27">
        <f t="shared" si="0"/>
        <v>0</v>
      </c>
      <c r="E15" s="33">
        <f t="shared" si="3"/>
        <v>0</v>
      </c>
      <c r="F15" s="25">
        <f t="shared" si="1"/>
        <v>0</v>
      </c>
      <c r="G15" s="25">
        <f t="shared" si="4"/>
        <v>0</v>
      </c>
      <c r="H15" s="26" t="e">
        <f t="shared" si="5"/>
        <v>#DIV/0!</v>
      </c>
      <c r="I15" s="29">
        <v>0</v>
      </c>
      <c r="J15" s="27">
        <f t="shared" si="14"/>
        <v>0</v>
      </c>
      <c r="K15" s="33">
        <f>I15</f>
        <v>0</v>
      </c>
      <c r="L15" s="25">
        <f t="shared" si="28"/>
        <v>0</v>
      </c>
      <c r="M15" s="25">
        <f t="shared" si="6"/>
        <v>0</v>
      </c>
      <c r="N15" s="26" t="e">
        <f t="shared" si="7"/>
        <v>#DIV/0!</v>
      </c>
      <c r="O15" s="29">
        <v>0</v>
      </c>
      <c r="P15" s="27">
        <f t="shared" si="18"/>
        <v>0</v>
      </c>
      <c r="Q15" s="33">
        <f t="shared" ref="Q15:Q17" si="31">O15</f>
        <v>0</v>
      </c>
      <c r="R15" s="25">
        <f t="shared" si="29"/>
        <v>0</v>
      </c>
      <c r="S15" s="25">
        <f t="shared" si="8"/>
        <v>0</v>
      </c>
      <c r="T15" s="26" t="e">
        <f t="shared" si="9"/>
        <v>#DIV/0!</v>
      </c>
      <c r="U15" s="29">
        <v>0</v>
      </c>
      <c r="V15" s="27">
        <f t="shared" si="22"/>
        <v>0</v>
      </c>
      <c r="W15" s="33">
        <f t="shared" ref="W15:W17" si="32">U15</f>
        <v>0</v>
      </c>
      <c r="X15" s="25">
        <f t="shared" si="30"/>
        <v>0</v>
      </c>
      <c r="Y15" s="25">
        <f t="shared" si="10"/>
        <v>0</v>
      </c>
      <c r="Z15" s="26" t="e">
        <f t="shared" si="11"/>
        <v>#DIV/0!</v>
      </c>
      <c r="AA15" s="29">
        <v>0</v>
      </c>
      <c r="AB15" s="27" t="e">
        <f t="shared" si="26"/>
        <v>#DIV/0!</v>
      </c>
      <c r="AC15" s="33">
        <f t="shared" ref="AC15:AC17" si="33">AA15</f>
        <v>0</v>
      </c>
      <c r="AD15" s="25" t="e">
        <f t="shared" si="27"/>
        <v>#DIV/0!</v>
      </c>
      <c r="AE15" s="25">
        <f t="shared" si="12"/>
        <v>0</v>
      </c>
      <c r="AF15" s="39">
        <v>0</v>
      </c>
    </row>
    <row r="16" spans="1:32" s="14" customFormat="1" ht="22.5" customHeight="1" x14ac:dyDescent="0.3">
      <c r="A16" s="61" t="s">
        <v>43</v>
      </c>
      <c r="B16" s="64" t="s">
        <v>16</v>
      </c>
      <c r="C16" s="29">
        <f t="shared" si="2"/>
        <v>17.080108877876206</v>
      </c>
      <c r="D16" s="27">
        <f t="shared" si="0"/>
        <v>2.6439211207962994</v>
      </c>
      <c r="E16" s="33">
        <f t="shared" si="3"/>
        <v>17.080108877876206</v>
      </c>
      <c r="F16" s="25">
        <f t="shared" si="1"/>
        <v>2.6439211207962994</v>
      </c>
      <c r="G16" s="25">
        <f t="shared" si="4"/>
        <v>0</v>
      </c>
      <c r="H16" s="26">
        <f t="shared" si="5"/>
        <v>0</v>
      </c>
      <c r="I16" s="29">
        <v>5.4624718062265787</v>
      </c>
      <c r="J16" s="27">
        <f t="shared" si="14"/>
        <v>2.6489418333537218</v>
      </c>
      <c r="K16" s="33">
        <f t="shared" ref="K16:K17" si="34">I16</f>
        <v>5.4624718062265787</v>
      </c>
      <c r="L16" s="25">
        <f t="shared" si="28"/>
        <v>2.6489418333537218</v>
      </c>
      <c r="M16" s="25">
        <f t="shared" si="6"/>
        <v>0</v>
      </c>
      <c r="N16" s="26">
        <f t="shared" si="7"/>
        <v>0</v>
      </c>
      <c r="O16" s="29">
        <v>9.4863848304026224</v>
      </c>
      <c r="P16" s="27">
        <f t="shared" si="18"/>
        <v>2.6399250406038255</v>
      </c>
      <c r="Q16" s="33">
        <f t="shared" si="31"/>
        <v>9.4863848304026224</v>
      </c>
      <c r="R16" s="25">
        <f t="shared" si="29"/>
        <v>2.6399250406038255</v>
      </c>
      <c r="S16" s="25">
        <f t="shared" si="8"/>
        <v>0</v>
      </c>
      <c r="T16" s="26">
        <f t="shared" si="9"/>
        <v>0</v>
      </c>
      <c r="U16" s="29">
        <v>2.1312522412470054</v>
      </c>
      <c r="V16" s="27">
        <f t="shared" si="22"/>
        <v>2.6489004308406661</v>
      </c>
      <c r="W16" s="33">
        <f t="shared" si="32"/>
        <v>2.1312522412470054</v>
      </c>
      <c r="X16" s="25">
        <f t="shared" si="30"/>
        <v>2.6489004308406661</v>
      </c>
      <c r="Y16" s="25">
        <f t="shared" si="10"/>
        <v>0</v>
      </c>
      <c r="Z16" s="26">
        <f t="shared" si="11"/>
        <v>0</v>
      </c>
      <c r="AA16" s="29">
        <v>0</v>
      </c>
      <c r="AB16" s="27" t="e">
        <f t="shared" si="26"/>
        <v>#DIV/0!</v>
      </c>
      <c r="AC16" s="33">
        <f t="shared" si="33"/>
        <v>0</v>
      </c>
      <c r="AD16" s="25" t="e">
        <f t="shared" si="27"/>
        <v>#DIV/0!</v>
      </c>
      <c r="AE16" s="25">
        <f t="shared" si="12"/>
        <v>0</v>
      </c>
      <c r="AF16" s="39" t="e">
        <f t="shared" si="13"/>
        <v>#DIV/0!</v>
      </c>
    </row>
    <row r="17" spans="1:32" s="14" customFormat="1" ht="22.5" customHeight="1" x14ac:dyDescent="0.3">
      <c r="A17" s="61" t="s">
        <v>44</v>
      </c>
      <c r="B17" s="64" t="s">
        <v>17</v>
      </c>
      <c r="C17" s="29">
        <f t="shared" si="2"/>
        <v>6.9364800000000004</v>
      </c>
      <c r="D17" s="27">
        <f t="shared" si="0"/>
        <v>1.073734723069371</v>
      </c>
      <c r="E17" s="33">
        <f t="shared" si="3"/>
        <v>6.9364800000000004</v>
      </c>
      <c r="F17" s="25">
        <f t="shared" si="1"/>
        <v>1.073734723069371</v>
      </c>
      <c r="G17" s="25">
        <f t="shared" si="4"/>
        <v>0</v>
      </c>
      <c r="H17" s="26">
        <f t="shared" si="5"/>
        <v>0</v>
      </c>
      <c r="I17" s="29">
        <v>2.2433866268038476</v>
      </c>
      <c r="J17" s="27">
        <f t="shared" si="14"/>
        <v>1.0878959004151081</v>
      </c>
      <c r="K17" s="33">
        <f t="shared" si="34"/>
        <v>2.2433866268038476</v>
      </c>
      <c r="L17" s="25">
        <f t="shared" si="28"/>
        <v>1.0878959004151081</v>
      </c>
      <c r="M17" s="25">
        <f t="shared" si="6"/>
        <v>0</v>
      </c>
      <c r="N17" s="26">
        <f>M17/I17*100</f>
        <v>0</v>
      </c>
      <c r="O17" s="29">
        <v>3.8178880744902357</v>
      </c>
      <c r="P17" s="27">
        <f t="shared" si="18"/>
        <v>1.0624635738756685</v>
      </c>
      <c r="Q17" s="33">
        <f t="shared" si="31"/>
        <v>3.8178880744902357</v>
      </c>
      <c r="R17" s="25">
        <f t="shared" si="29"/>
        <v>1.0624635738756685</v>
      </c>
      <c r="S17" s="25">
        <f t="shared" si="8"/>
        <v>0</v>
      </c>
      <c r="T17" s="28">
        <f t="shared" si="9"/>
        <v>0</v>
      </c>
      <c r="U17" s="29">
        <v>0.87520529870591712</v>
      </c>
      <c r="V17" s="27">
        <f t="shared" si="22"/>
        <v>1.0877791225029614</v>
      </c>
      <c r="W17" s="33">
        <f t="shared" si="32"/>
        <v>0.87520529870591712</v>
      </c>
      <c r="X17" s="25">
        <f t="shared" si="30"/>
        <v>1.0877791225029614</v>
      </c>
      <c r="Y17" s="25">
        <f t="shared" si="10"/>
        <v>0</v>
      </c>
      <c r="Z17" s="26">
        <f t="shared" si="11"/>
        <v>0</v>
      </c>
      <c r="AA17" s="29">
        <v>0</v>
      </c>
      <c r="AB17" s="27" t="e">
        <f t="shared" si="26"/>
        <v>#DIV/0!</v>
      </c>
      <c r="AC17" s="33">
        <f t="shared" si="33"/>
        <v>0</v>
      </c>
      <c r="AD17" s="25" t="e">
        <f t="shared" si="27"/>
        <v>#DIV/0!</v>
      </c>
      <c r="AE17" s="25">
        <f t="shared" si="12"/>
        <v>0</v>
      </c>
      <c r="AF17" s="39" t="e">
        <f t="shared" si="13"/>
        <v>#DIV/0!</v>
      </c>
    </row>
    <row r="18" spans="1:32" s="14" customFormat="1" ht="22.5" customHeight="1" x14ac:dyDescent="0.3">
      <c r="A18" s="59" t="s">
        <v>45</v>
      </c>
      <c r="B18" s="65" t="s">
        <v>81</v>
      </c>
      <c r="C18" s="29">
        <f t="shared" si="2"/>
        <v>2931.93361</v>
      </c>
      <c r="D18" s="27">
        <f t="shared" si="0"/>
        <v>453.84963595240396</v>
      </c>
      <c r="E18" s="33">
        <f t="shared" si="3"/>
        <v>2931.93361</v>
      </c>
      <c r="F18" s="25">
        <f t="shared" si="1"/>
        <v>453.84963595240396</v>
      </c>
      <c r="G18" s="25">
        <f t="shared" si="4"/>
        <v>0</v>
      </c>
      <c r="H18" s="26">
        <f t="shared" si="5"/>
        <v>0</v>
      </c>
      <c r="I18" s="29">
        <v>946.4040126029621</v>
      </c>
      <c r="J18" s="27">
        <f t="shared" si="14"/>
        <v>458.94409512194784</v>
      </c>
      <c r="K18" s="33">
        <f>I18</f>
        <v>946.4040126029621</v>
      </c>
      <c r="L18" s="25">
        <f t="shared" si="28"/>
        <v>458.94409512194784</v>
      </c>
      <c r="M18" s="25">
        <f t="shared" si="6"/>
        <v>0</v>
      </c>
      <c r="N18" s="26">
        <f t="shared" si="7"/>
        <v>0</v>
      </c>
      <c r="O18" s="29">
        <v>1616.3061699512177</v>
      </c>
      <c r="P18" s="27">
        <f t="shared" si="18"/>
        <v>449.7948594349387</v>
      </c>
      <c r="Q18" s="33">
        <f>O18</f>
        <v>1616.3061699512177</v>
      </c>
      <c r="R18" s="25">
        <f t="shared" si="29"/>
        <v>449.7948594349387</v>
      </c>
      <c r="S18" s="25">
        <f t="shared" si="8"/>
        <v>0</v>
      </c>
      <c r="T18" s="28">
        <f t="shared" si="9"/>
        <v>0</v>
      </c>
      <c r="U18" s="29">
        <v>369.22342744581999</v>
      </c>
      <c r="V18" s="27">
        <f t="shared" si="22"/>
        <v>458.90208446910373</v>
      </c>
      <c r="W18" s="33">
        <f>U18</f>
        <v>369.22342744581999</v>
      </c>
      <c r="X18" s="25">
        <f t="shared" si="30"/>
        <v>458.90208446910373</v>
      </c>
      <c r="Y18" s="25">
        <f t="shared" si="10"/>
        <v>0</v>
      </c>
      <c r="Z18" s="26">
        <f t="shared" si="11"/>
        <v>0</v>
      </c>
      <c r="AA18" s="29">
        <v>0</v>
      </c>
      <c r="AB18" s="27" t="e">
        <f t="shared" si="26"/>
        <v>#DIV/0!</v>
      </c>
      <c r="AC18" s="33">
        <f>AA18</f>
        <v>0</v>
      </c>
      <c r="AD18" s="25" t="e">
        <f t="shared" si="27"/>
        <v>#DIV/0!</v>
      </c>
      <c r="AE18" s="25">
        <f t="shared" si="12"/>
        <v>0</v>
      </c>
      <c r="AF18" s="39" t="e">
        <f t="shared" si="13"/>
        <v>#DIV/0!</v>
      </c>
    </row>
    <row r="19" spans="1:32" s="14" customFormat="1" ht="22.5" customHeight="1" x14ac:dyDescent="0.3">
      <c r="A19" s="59" t="s">
        <v>46</v>
      </c>
      <c r="B19" s="65" t="s">
        <v>18</v>
      </c>
      <c r="C19" s="29">
        <f t="shared" si="2"/>
        <v>878.50318573999994</v>
      </c>
      <c r="D19" s="27">
        <f t="shared" si="0"/>
        <v>135.98819211705344</v>
      </c>
      <c r="E19" s="33">
        <f t="shared" si="3"/>
        <v>878.50318573999994</v>
      </c>
      <c r="F19" s="25">
        <f t="shared" si="1"/>
        <v>135.98819211705344</v>
      </c>
      <c r="G19" s="25">
        <f t="shared" si="4"/>
        <v>0</v>
      </c>
      <c r="H19" s="26">
        <f t="shared" si="5"/>
        <v>0</v>
      </c>
      <c r="I19" s="29">
        <f>I21+I22+I23+I20</f>
        <v>283.65928014753371</v>
      </c>
      <c r="J19" s="27">
        <f>J21+J22+J23+J20</f>
        <v>137.55621269208206</v>
      </c>
      <c r="K19" s="29">
        <f>K21+K22+K23+K20</f>
        <v>283.65928014753371</v>
      </c>
      <c r="L19" s="25">
        <f>L21+L22+L23</f>
        <v>36.588510863235236</v>
      </c>
      <c r="M19" s="25">
        <f t="shared" si="6"/>
        <v>0</v>
      </c>
      <c r="N19" s="26">
        <f t="shared" si="7"/>
        <v>0</v>
      </c>
      <c r="O19" s="29">
        <f>O21+O22+O23+O20</f>
        <v>484.17933505291364</v>
      </c>
      <c r="P19" s="27">
        <f>P21+P22+P23+P20</f>
        <v>134.7401748506598</v>
      </c>
      <c r="Q19" s="29">
        <f>Q21+Q22+Q23+Q20</f>
        <v>484.17933505291364</v>
      </c>
      <c r="R19" s="25">
        <f>R21+R22+R23</f>
        <v>35.78530488050751</v>
      </c>
      <c r="S19" s="25">
        <f t="shared" si="8"/>
        <v>0</v>
      </c>
      <c r="T19" s="28">
        <f t="shared" si="9"/>
        <v>0</v>
      </c>
      <c r="U19" s="29">
        <f>U21+U22+U23+U20</f>
        <v>110.6645705395527</v>
      </c>
      <c r="V19" s="27">
        <f>V21+V22+V23+V20</f>
        <v>137.54328225808749</v>
      </c>
      <c r="W19" s="29">
        <f>W21+W22+W23+W20</f>
        <v>110.6645705395527</v>
      </c>
      <c r="X19" s="25">
        <f>X21+X22+X23</f>
        <v>36.584822772901028</v>
      </c>
      <c r="Y19" s="25">
        <f t="shared" si="10"/>
        <v>0</v>
      </c>
      <c r="Z19" s="26">
        <f t="shared" si="11"/>
        <v>0</v>
      </c>
      <c r="AA19" s="29">
        <f>AA21+AA22+AA23+AA20</f>
        <v>0</v>
      </c>
      <c r="AB19" s="27" t="e">
        <f>AB21+AB22+AB23+AB20</f>
        <v>#DIV/0!</v>
      </c>
      <c r="AC19" s="24">
        <f>AC21+AC22+AC23</f>
        <v>0</v>
      </c>
      <c r="AD19" s="25" t="e">
        <f>AD21+AD22+AD23</f>
        <v>#DIV/0!</v>
      </c>
      <c r="AE19" s="25">
        <f t="shared" si="12"/>
        <v>0</v>
      </c>
      <c r="AF19" s="39" t="e">
        <f t="shared" si="13"/>
        <v>#DIV/0!</v>
      </c>
    </row>
    <row r="20" spans="1:32" s="14" customFormat="1" ht="22.5" customHeight="1" x14ac:dyDescent="0.3">
      <c r="A20" s="61" t="s">
        <v>47</v>
      </c>
      <c r="B20" s="62" t="s">
        <v>98</v>
      </c>
      <c r="C20" s="29">
        <f t="shared" si="2"/>
        <v>645.02539999999999</v>
      </c>
      <c r="D20" s="27">
        <f t="shared" si="0"/>
        <v>99.846920807341803</v>
      </c>
      <c r="E20" s="33">
        <f t="shared" ref="E20" si="35">K20+Q20+W20+AC20</f>
        <v>645.02539999999999</v>
      </c>
      <c r="F20" s="25">
        <f t="shared" ref="F20" si="36">E20/$C$52*1000</f>
        <v>99.846920807341803</v>
      </c>
      <c r="G20" s="25">
        <f t="shared" ref="G20" si="37">E20-C20</f>
        <v>0</v>
      </c>
      <c r="H20" s="26">
        <f t="shared" ref="H20" si="38">G20/C20*100</f>
        <v>0</v>
      </c>
      <c r="I20" s="24">
        <v>208.20888463273386</v>
      </c>
      <c r="J20" s="27">
        <f>I20/$I$52*1000</f>
        <v>100.96770182884683</v>
      </c>
      <c r="K20" s="33">
        <f t="shared" ref="K20" si="39">I20</f>
        <v>208.20888463273386</v>
      </c>
      <c r="L20" s="25">
        <f t="shared" ref="L20" si="40">K20/$I$52*1000</f>
        <v>100.96770182884683</v>
      </c>
      <c r="M20" s="25">
        <f t="shared" ref="M20" si="41">K20-I20</f>
        <v>0</v>
      </c>
      <c r="N20" s="26">
        <f>M20/I20*100</f>
        <v>0</v>
      </c>
      <c r="O20" s="29">
        <v>355.5873606034678</v>
      </c>
      <c r="P20" s="27">
        <f>O20/$O$52*1000</f>
        <v>98.954869970152302</v>
      </c>
      <c r="Q20" s="33">
        <f t="shared" ref="Q20" si="42">O20</f>
        <v>355.5873606034678</v>
      </c>
      <c r="R20" s="25">
        <f t="shared" ref="R20" si="43">Q20/$O$52*1000</f>
        <v>98.954869970152302</v>
      </c>
      <c r="S20" s="25">
        <f t="shared" ref="S20" si="44">Q20-O20</f>
        <v>0</v>
      </c>
      <c r="T20" s="25">
        <f t="shared" ref="T20" si="45">S20/O20*100</f>
        <v>0</v>
      </c>
      <c r="U20" s="24">
        <v>81.229154763798363</v>
      </c>
      <c r="V20" s="27">
        <f>U20/$U$52*1000</f>
        <v>100.95845948518645</v>
      </c>
      <c r="W20" s="50">
        <f>U20</f>
        <v>81.229154763798363</v>
      </c>
      <c r="X20" s="25">
        <f t="shared" ref="X20" si="46">W20/$U$52*1000</f>
        <v>100.95845948518645</v>
      </c>
      <c r="Y20" s="25">
        <f t="shared" ref="Y20" si="47">W20-U20</f>
        <v>0</v>
      </c>
      <c r="Z20" s="26">
        <f t="shared" ref="Z20" si="48">Y20/U20*100</f>
        <v>0</v>
      </c>
      <c r="AA20" s="29">
        <v>0</v>
      </c>
      <c r="AB20" s="27" t="e">
        <f>AA20/$AA$52*1000</f>
        <v>#DIV/0!</v>
      </c>
      <c r="AC20" s="50"/>
      <c r="AD20" s="25"/>
      <c r="AE20" s="25"/>
      <c r="AF20" s="39"/>
    </row>
    <row r="21" spans="1:32" s="14" customFormat="1" ht="22.5" customHeight="1" x14ac:dyDescent="0.3">
      <c r="A21" s="61" t="s">
        <v>48</v>
      </c>
      <c r="B21" s="62" t="s">
        <v>20</v>
      </c>
      <c r="C21" s="29">
        <f t="shared" si="2"/>
        <v>38.943760000000005</v>
      </c>
      <c r="D21" s="27">
        <f t="shared" si="0"/>
        <v>6.0283122504325037</v>
      </c>
      <c r="E21" s="33">
        <f t="shared" si="3"/>
        <v>38.943760000000005</v>
      </c>
      <c r="F21" s="25">
        <f t="shared" si="1"/>
        <v>6.0283122504325037</v>
      </c>
      <c r="G21" s="25">
        <f t="shared" si="4"/>
        <v>0</v>
      </c>
      <c r="H21" s="26">
        <f t="shared" si="5"/>
        <v>0</v>
      </c>
      <c r="I21" s="29">
        <v>12.586733314044347</v>
      </c>
      <c r="J21" s="27">
        <f>I21/$I$52*1000</f>
        <v>6.1037430678971303</v>
      </c>
      <c r="K21" s="33">
        <f t="shared" ref="K21:K23" si="49">I21</f>
        <v>12.586733314044347</v>
      </c>
      <c r="L21" s="25">
        <f t="shared" ref="L21:L23" si="50">K21/$I$52*1000</f>
        <v>6.1037430678971303</v>
      </c>
      <c r="M21" s="25">
        <f t="shared" ref="M21:M23" si="51">K21-I21</f>
        <v>0</v>
      </c>
      <c r="N21" s="26">
        <f t="shared" ref="N21:N23" si="52">M21/I21*100</f>
        <v>0</v>
      </c>
      <c r="O21" s="29">
        <v>21.446577715222073</v>
      </c>
      <c r="P21" s="27">
        <f>O21/$O$52*1000</f>
        <v>5.9682754345174258</v>
      </c>
      <c r="Q21" s="33">
        <f t="shared" ref="Q21:Q23" si="53">O21</f>
        <v>21.446577715222073</v>
      </c>
      <c r="R21" s="25">
        <f t="shared" ref="R21:R23" si="54">Q21/$O$52*1000</f>
        <v>5.9682754345174258</v>
      </c>
      <c r="S21" s="25">
        <f t="shared" ref="S21:S23" si="55">Q21-O21</f>
        <v>0</v>
      </c>
      <c r="T21" s="25">
        <f t="shared" ref="T21:T23" si="56">S21/O21*100</f>
        <v>0</v>
      </c>
      <c r="U21" s="29">
        <v>4.9104489707335812</v>
      </c>
      <c r="V21" s="27">
        <f>U21/$U$52*1000</f>
        <v>6.1031210395756172</v>
      </c>
      <c r="W21" s="50">
        <f t="shared" ref="W21:W23" si="57">U21</f>
        <v>4.9104489707335812</v>
      </c>
      <c r="X21" s="25">
        <f t="shared" ref="X21:X23" si="58">W21/$U$52*1000</f>
        <v>6.1031210395756172</v>
      </c>
      <c r="Y21" s="25">
        <f t="shared" ref="Y21:Y23" si="59">W21-U21</f>
        <v>0</v>
      </c>
      <c r="Z21" s="26">
        <f t="shared" ref="Z21:Z23" si="60">Y21/U21*100</f>
        <v>0</v>
      </c>
      <c r="AA21" s="29">
        <v>0</v>
      </c>
      <c r="AB21" s="27" t="e">
        <f>AA21/$AA$52*1000</f>
        <v>#DIV/0!</v>
      </c>
      <c r="AC21" s="33">
        <f>AA21+([2]Лист1!$M$20+'[3]ТЕО для МОП'!$G$20)/(1000*$C$52)*AA52</f>
        <v>0</v>
      </c>
      <c r="AD21" s="25" t="e">
        <f>AC21/$AA$52*1000</f>
        <v>#DIV/0!</v>
      </c>
      <c r="AE21" s="25">
        <f t="shared" si="12"/>
        <v>0</v>
      </c>
      <c r="AF21" s="39" t="e">
        <f t="shared" si="13"/>
        <v>#DIV/0!</v>
      </c>
    </row>
    <row r="22" spans="1:32" s="14" customFormat="1" ht="22.5" customHeight="1" x14ac:dyDescent="0.3">
      <c r="A22" s="61" t="s">
        <v>49</v>
      </c>
      <c r="B22" s="62" t="s">
        <v>82</v>
      </c>
      <c r="C22" s="29">
        <f t="shared" si="2"/>
        <v>0</v>
      </c>
      <c r="D22" s="27">
        <f t="shared" si="0"/>
        <v>0</v>
      </c>
      <c r="E22" s="33">
        <f t="shared" si="3"/>
        <v>0</v>
      </c>
      <c r="F22" s="25">
        <f t="shared" si="1"/>
        <v>0</v>
      </c>
      <c r="G22" s="25">
        <f t="shared" ref="G22" si="61">E22-C22</f>
        <v>0</v>
      </c>
      <c r="H22" s="26" t="e">
        <f t="shared" ref="H22" si="62">G22/C22*100</f>
        <v>#DIV/0!</v>
      </c>
      <c r="I22" s="29">
        <v>0</v>
      </c>
      <c r="J22" s="27">
        <f>I22/$I$52*1000</f>
        <v>0</v>
      </c>
      <c r="K22" s="33">
        <f t="shared" si="49"/>
        <v>0</v>
      </c>
      <c r="L22" s="25">
        <f t="shared" si="50"/>
        <v>0</v>
      </c>
      <c r="M22" s="25">
        <f t="shared" si="51"/>
        <v>0</v>
      </c>
      <c r="N22" s="26" t="e">
        <f t="shared" si="52"/>
        <v>#DIV/0!</v>
      </c>
      <c r="O22" s="29">
        <v>0</v>
      </c>
      <c r="P22" s="27">
        <f>O22/$O$52*1000</f>
        <v>0</v>
      </c>
      <c r="Q22" s="33">
        <f t="shared" si="53"/>
        <v>0</v>
      </c>
      <c r="R22" s="25">
        <f t="shared" si="54"/>
        <v>0</v>
      </c>
      <c r="S22" s="25">
        <f t="shared" si="55"/>
        <v>0</v>
      </c>
      <c r="T22" s="25" t="e">
        <f t="shared" si="56"/>
        <v>#DIV/0!</v>
      </c>
      <c r="U22" s="29">
        <v>0</v>
      </c>
      <c r="V22" s="27">
        <f>U22/$U$52*1000</f>
        <v>0</v>
      </c>
      <c r="W22" s="50">
        <f t="shared" si="57"/>
        <v>0</v>
      </c>
      <c r="X22" s="25">
        <f t="shared" si="58"/>
        <v>0</v>
      </c>
      <c r="Y22" s="25">
        <f t="shared" si="59"/>
        <v>0</v>
      </c>
      <c r="Z22" s="26" t="e">
        <f t="shared" si="60"/>
        <v>#DIV/0!</v>
      </c>
      <c r="AA22" s="29">
        <v>0</v>
      </c>
      <c r="AB22" s="27" t="e">
        <f>AA22/$AA$52*1000</f>
        <v>#DIV/0!</v>
      </c>
      <c r="AC22" s="33">
        <f>AA22</f>
        <v>0</v>
      </c>
      <c r="AD22" s="25" t="e">
        <f>AC22/$AA$52*1000</f>
        <v>#DIV/0!</v>
      </c>
      <c r="AE22" s="25">
        <f t="shared" ref="AE22" si="63">AC22-AA22</f>
        <v>0</v>
      </c>
      <c r="AF22" s="39" t="e">
        <f t="shared" ref="AF22" si="64">AE22/AA22*100</f>
        <v>#DIV/0!</v>
      </c>
    </row>
    <row r="23" spans="1:32" s="14" customFormat="1" ht="22.5" customHeight="1" x14ac:dyDescent="0.3">
      <c r="A23" s="61" t="s">
        <v>99</v>
      </c>
      <c r="B23" s="62" t="s">
        <v>21</v>
      </c>
      <c r="C23" s="29">
        <f t="shared" si="2"/>
        <v>194.53402574000006</v>
      </c>
      <c r="D23" s="27">
        <f t="shared" si="0"/>
        <v>30.112959059279181</v>
      </c>
      <c r="E23" s="33">
        <f>K23+Q23+W23+AC23</f>
        <v>194.53402574000006</v>
      </c>
      <c r="F23" s="25">
        <f t="shared" si="1"/>
        <v>30.112959059279181</v>
      </c>
      <c r="G23" s="25">
        <f t="shared" si="4"/>
        <v>0</v>
      </c>
      <c r="H23" s="26">
        <f t="shared" si="5"/>
        <v>0</v>
      </c>
      <c r="I23" s="29">
        <v>62.86366220075552</v>
      </c>
      <c r="J23" s="27">
        <f>I23/$I$52*1000</f>
        <v>30.484767795338108</v>
      </c>
      <c r="K23" s="33">
        <f t="shared" si="49"/>
        <v>62.86366220075552</v>
      </c>
      <c r="L23" s="25">
        <f t="shared" si="50"/>
        <v>30.484767795338108</v>
      </c>
      <c r="M23" s="25">
        <f t="shared" si="51"/>
        <v>0</v>
      </c>
      <c r="N23" s="26">
        <f t="shared" si="52"/>
        <v>0</v>
      </c>
      <c r="O23" s="29">
        <v>107.14539673422377</v>
      </c>
      <c r="P23" s="27">
        <f>O23/$O$52*1000</f>
        <v>29.817029445990087</v>
      </c>
      <c r="Q23" s="33">
        <f t="shared" si="53"/>
        <v>107.14539673422377</v>
      </c>
      <c r="R23" s="25">
        <f t="shared" si="54"/>
        <v>29.817029445990087</v>
      </c>
      <c r="S23" s="25">
        <f t="shared" si="55"/>
        <v>0</v>
      </c>
      <c r="T23" s="25">
        <f t="shared" si="56"/>
        <v>0</v>
      </c>
      <c r="U23" s="29">
        <v>24.524966805020753</v>
      </c>
      <c r="V23" s="27">
        <f>U23/$U$52*1000</f>
        <v>30.481701733325409</v>
      </c>
      <c r="W23" s="50">
        <f t="shared" si="57"/>
        <v>24.524966805020753</v>
      </c>
      <c r="X23" s="25">
        <f t="shared" si="58"/>
        <v>30.481701733325409</v>
      </c>
      <c r="Y23" s="25">
        <f t="shared" si="59"/>
        <v>0</v>
      </c>
      <c r="Z23" s="26">
        <f t="shared" si="60"/>
        <v>0</v>
      </c>
      <c r="AA23" s="29">
        <v>0</v>
      </c>
      <c r="AB23" s="27" t="e">
        <f>AA23/$AA$52*1000</f>
        <v>#DIV/0!</v>
      </c>
      <c r="AC23" s="33">
        <f>AA23</f>
        <v>0</v>
      </c>
      <c r="AD23" s="25" t="e">
        <f>AC23/$AA$52*1000</f>
        <v>#DIV/0!</v>
      </c>
      <c r="AE23" s="25">
        <f t="shared" si="12"/>
        <v>0</v>
      </c>
      <c r="AF23" s="39" t="e">
        <f t="shared" si="13"/>
        <v>#DIV/0!</v>
      </c>
    </row>
    <row r="24" spans="1:32" s="14" customFormat="1" ht="22.5" customHeight="1" x14ac:dyDescent="0.3">
      <c r="A24" s="59" t="s">
        <v>50</v>
      </c>
      <c r="B24" s="60" t="s">
        <v>22</v>
      </c>
      <c r="C24" s="29">
        <f t="shared" si="2"/>
        <v>35.014480125052543</v>
      </c>
      <c r="D24" s="27">
        <f t="shared" si="0"/>
        <v>5.4200780684859309</v>
      </c>
      <c r="E24" s="33">
        <f t="shared" si="3"/>
        <v>35.014480125052543</v>
      </c>
      <c r="F24" s="25">
        <f t="shared" si="1"/>
        <v>5.4200780684859309</v>
      </c>
      <c r="G24" s="25">
        <f t="shared" si="4"/>
        <v>0</v>
      </c>
      <c r="H24" s="26">
        <f t="shared" si="5"/>
        <v>0</v>
      </c>
      <c r="I24" s="29">
        <f>I26+I27+I28+I25</f>
        <v>11.302385694045917</v>
      </c>
      <c r="J24" s="27">
        <f>J26+J27+J28+J25</f>
        <v>5.4809184090487202</v>
      </c>
      <c r="K24" s="29">
        <f>K26+K27+K28+K25</f>
        <v>11.302385694045917</v>
      </c>
      <c r="L24" s="25">
        <f>L26+L27+L28</f>
        <v>5.1772366285976084</v>
      </c>
      <c r="M24" s="25">
        <f t="shared" si="6"/>
        <v>0</v>
      </c>
      <c r="N24" s="26">
        <f t="shared" si="7"/>
        <v>0</v>
      </c>
      <c r="O24" s="29">
        <f>O26+O27+O28+O25</f>
        <v>19.302660902937948</v>
      </c>
      <c r="P24" s="27">
        <f>P26+P27+P28+P25</f>
        <v>5.3716540894101161</v>
      </c>
      <c r="Q24" s="29">
        <f>Q26+Q27+Q28+Q25</f>
        <v>19.302660902937948</v>
      </c>
      <c r="R24" s="25">
        <f>R26+R27+R28</f>
        <v>5.0740263277659343</v>
      </c>
      <c r="S24" s="25">
        <f t="shared" si="8"/>
        <v>0</v>
      </c>
      <c r="T24" s="28">
        <f t="shared" si="9"/>
        <v>0</v>
      </c>
      <c r="U24" s="29">
        <f>U26+U27+U28+U25</f>
        <v>4.4094335280686812</v>
      </c>
      <c r="V24" s="27">
        <f>V26+V27+V28+V25</f>
        <v>5.4804166987903313</v>
      </c>
      <c r="W24" s="29">
        <f>W26+W27+W28+W25</f>
        <v>4.4094335280686812</v>
      </c>
      <c r="X24" s="25">
        <f>X26+X27+X28</f>
        <v>5.176762716648402</v>
      </c>
      <c r="Y24" s="25">
        <f t="shared" si="10"/>
        <v>0</v>
      </c>
      <c r="Z24" s="26">
        <f t="shared" si="11"/>
        <v>0</v>
      </c>
      <c r="AA24" s="29">
        <f>AA26+AA27+AA28+AA25</f>
        <v>0</v>
      </c>
      <c r="AB24" s="27" t="e">
        <f>AB26+AB27+AB28+AB25</f>
        <v>#DIV/0!</v>
      </c>
      <c r="AC24" s="29">
        <f>AC26+AC27+AC28</f>
        <v>0</v>
      </c>
      <c r="AD24" s="25" t="e">
        <f>AD26+AD27+AD28</f>
        <v>#DIV/0!</v>
      </c>
      <c r="AE24" s="25">
        <f t="shared" si="12"/>
        <v>0</v>
      </c>
      <c r="AF24" s="39" t="e">
        <f t="shared" si="13"/>
        <v>#DIV/0!</v>
      </c>
    </row>
    <row r="25" spans="1:32" s="14" customFormat="1" ht="22.5" customHeight="1" x14ac:dyDescent="0.3">
      <c r="A25" s="66" t="s">
        <v>51</v>
      </c>
      <c r="B25" s="62" t="s">
        <v>98</v>
      </c>
      <c r="C25" s="29">
        <f t="shared" si="2"/>
        <v>1.9400507127402296</v>
      </c>
      <c r="D25" s="27">
        <f t="shared" si="0"/>
        <v>0.30031079377215336</v>
      </c>
      <c r="E25" s="33">
        <f t="shared" ref="E25" si="65">K25+Q25+W25+AC25</f>
        <v>1.9400507127402296</v>
      </c>
      <c r="F25" s="25">
        <f t="shared" ref="F25" si="66">E25/$C$52*1000</f>
        <v>0.30031079377215336</v>
      </c>
      <c r="G25" s="25">
        <f t="shared" ref="G25" si="67">E25-C25</f>
        <v>0</v>
      </c>
      <c r="H25" s="26">
        <f t="shared" ref="H25" si="68">G25/C25*100</f>
        <v>0</v>
      </c>
      <c r="I25" s="29">
        <v>0.6262323856612122</v>
      </c>
      <c r="J25" s="27">
        <f>I25/$I$52*1000</f>
        <v>0.30368178045111149</v>
      </c>
      <c r="K25" s="33">
        <f>I25</f>
        <v>0.6262323856612122</v>
      </c>
      <c r="L25" s="25">
        <f>K25/$I$52*1000</f>
        <v>0.30368178045111149</v>
      </c>
      <c r="M25" s="25">
        <f t="shared" ref="M25" si="69">K25-I25</f>
        <v>0</v>
      </c>
      <c r="N25" s="26">
        <f t="shared" ref="N25" si="70">M25/I25*100</f>
        <v>0</v>
      </c>
      <c r="O25" s="29">
        <v>1.0695044138534537</v>
      </c>
      <c r="P25" s="27">
        <f>O25/$O$52*1000</f>
        <v>0.29762776164418137</v>
      </c>
      <c r="Q25" s="33">
        <f>O25</f>
        <v>1.0695044138534537</v>
      </c>
      <c r="R25" s="25">
        <f>Q25/$O$52*1000</f>
        <v>0.29762776164418137</v>
      </c>
      <c r="S25" s="25">
        <f t="shared" ref="S25" si="71">Q25-O25</f>
        <v>0</v>
      </c>
      <c r="T25" s="28">
        <f t="shared" ref="T25" si="72">S25/O25*100</f>
        <v>0</v>
      </c>
      <c r="U25" s="29">
        <v>0.24431391322556364</v>
      </c>
      <c r="V25" s="27">
        <f>U25/$U$52*1000</f>
        <v>0.30365398214192912</v>
      </c>
      <c r="W25" s="33">
        <f>U25</f>
        <v>0.24431391322556364</v>
      </c>
      <c r="X25" s="25">
        <f>W25/$U$52*1000</f>
        <v>0.30365398214192912</v>
      </c>
      <c r="Y25" s="25">
        <f t="shared" ref="Y25" si="73">W25-U25</f>
        <v>0</v>
      </c>
      <c r="Z25" s="26">
        <f t="shared" ref="Z25" si="74">Y25/U25*100</f>
        <v>0</v>
      </c>
      <c r="AA25" s="29">
        <v>0</v>
      </c>
      <c r="AB25" s="27" t="e">
        <f>AA25/$AA$52*1000</f>
        <v>#DIV/0!</v>
      </c>
      <c r="AC25" s="33">
        <f>AA25</f>
        <v>0</v>
      </c>
      <c r="AD25" s="25" t="e">
        <f>AC25/$AA$52*1000</f>
        <v>#DIV/0!</v>
      </c>
      <c r="AE25" s="25">
        <f t="shared" ref="AE25" si="75">AC25-AA25</f>
        <v>0</v>
      </c>
      <c r="AF25" s="39" t="e">
        <f t="shared" ref="AF25" si="76">AE25/AA25*100</f>
        <v>#DIV/0!</v>
      </c>
    </row>
    <row r="26" spans="1:32" s="14" customFormat="1" ht="22.5" customHeight="1" x14ac:dyDescent="0.3">
      <c r="A26" s="61" t="s">
        <v>84</v>
      </c>
      <c r="B26" s="67" t="s">
        <v>83</v>
      </c>
      <c r="C26" s="29">
        <f t="shared" si="2"/>
        <v>0.42681408025370732</v>
      </c>
      <c r="D26" s="27">
        <f t="shared" si="0"/>
        <v>6.6068827166419097E-2</v>
      </c>
      <c r="E26" s="33">
        <f t="shared" si="3"/>
        <v>0.42681408025370732</v>
      </c>
      <c r="F26" s="25">
        <f t="shared" si="1"/>
        <v>6.6068827166419097E-2</v>
      </c>
      <c r="G26" s="25">
        <f t="shared" si="4"/>
        <v>0</v>
      </c>
      <c r="H26" s="26">
        <f t="shared" si="5"/>
        <v>0</v>
      </c>
      <c r="I26" s="29">
        <v>0.13777206851131643</v>
      </c>
      <c r="J26" s="27">
        <f>I26/$I$52*1000</f>
        <v>6.6810449315509626E-2</v>
      </c>
      <c r="K26" s="33">
        <f>I26</f>
        <v>0.13777206851131643</v>
      </c>
      <c r="L26" s="25">
        <f>K26/$I$52*1000</f>
        <v>6.6810449315509626E-2</v>
      </c>
      <c r="M26" s="25">
        <f t="shared" si="6"/>
        <v>0</v>
      </c>
      <c r="N26" s="26">
        <f t="shared" si="7"/>
        <v>0</v>
      </c>
      <c r="O26" s="29">
        <v>0.23529258267758707</v>
      </c>
      <c r="P26" s="27">
        <f>O26/$O$52*1000</f>
        <v>6.5478556055220141E-2</v>
      </c>
      <c r="Q26" s="33">
        <f>O26</f>
        <v>0.23529258267758707</v>
      </c>
      <c r="R26" s="25">
        <f>Q26/$O$52*1000</f>
        <v>6.5478556055220141E-2</v>
      </c>
      <c r="S26" s="25">
        <f t="shared" si="8"/>
        <v>0</v>
      </c>
      <c r="T26" s="28">
        <f t="shared" si="9"/>
        <v>0</v>
      </c>
      <c r="U26" s="29">
        <v>5.3749429064803796E-2</v>
      </c>
      <c r="V26" s="27">
        <f>U26/$U$52*1000</f>
        <v>6.68043336456004E-2</v>
      </c>
      <c r="W26" s="33">
        <f>U26</f>
        <v>5.3749429064803796E-2</v>
      </c>
      <c r="X26" s="25">
        <f>W26/$U$52*1000</f>
        <v>6.68043336456004E-2</v>
      </c>
      <c r="Y26" s="25">
        <f t="shared" si="10"/>
        <v>0</v>
      </c>
      <c r="Z26" s="26">
        <f t="shared" si="11"/>
        <v>0</v>
      </c>
      <c r="AA26" s="29">
        <v>0</v>
      </c>
      <c r="AB26" s="27" t="e">
        <f>AA26/$AA$52*1000</f>
        <v>#DIV/0!</v>
      </c>
      <c r="AC26" s="33">
        <f>AA26</f>
        <v>0</v>
      </c>
      <c r="AD26" s="25" t="e">
        <f>AC26/$AA$52*1000</f>
        <v>#DIV/0!</v>
      </c>
      <c r="AE26" s="25">
        <f t="shared" si="12"/>
        <v>0</v>
      </c>
      <c r="AF26" s="39" t="e">
        <f t="shared" si="13"/>
        <v>#DIV/0!</v>
      </c>
    </row>
    <row r="27" spans="1:32" s="14" customFormat="1" ht="22.5" customHeight="1" x14ac:dyDescent="0.3">
      <c r="A27" s="61" t="s">
        <v>52</v>
      </c>
      <c r="B27" s="62" t="s">
        <v>20</v>
      </c>
      <c r="C27" s="29">
        <f t="shared" ref="C27" si="77">I27+O27+U27+AA27</f>
        <v>0.36387218330723153</v>
      </c>
      <c r="D27" s="27">
        <f t="shared" si="0"/>
        <v>5.6325715344964257E-2</v>
      </c>
      <c r="E27" s="33">
        <f t="shared" ref="E27" si="78">K27+Q27+W27+AC27</f>
        <v>0.36387218330723153</v>
      </c>
      <c r="F27" s="25">
        <f t="shared" si="1"/>
        <v>5.6325715344964257E-2</v>
      </c>
      <c r="G27" s="25">
        <f t="shared" ref="G27" si="79">E27-C27</f>
        <v>0</v>
      </c>
      <c r="H27" s="26">
        <f t="shared" ref="H27" si="80">G27/C27*100</f>
        <v>0</v>
      </c>
      <c r="I27" s="29">
        <v>0.11745494276610327</v>
      </c>
      <c r="J27" s="27">
        <f>I27/$I$52*1000</f>
        <v>5.6957971128133743E-2</v>
      </c>
      <c r="K27" s="33">
        <f>I27</f>
        <v>0.11745494276610327</v>
      </c>
      <c r="L27" s="25">
        <f>K27/$I$52*1000</f>
        <v>5.6957971128133743E-2</v>
      </c>
      <c r="M27" s="25">
        <f t="shared" ref="M27" si="81">K27-I27</f>
        <v>0</v>
      </c>
      <c r="N27" s="26">
        <f t="shared" ref="N27" si="82">M27/I27*100</f>
        <v>0</v>
      </c>
      <c r="O27" s="29">
        <v>0.20059419249711416</v>
      </c>
      <c r="P27" s="27">
        <f>O27/$O$52*1000</f>
        <v>5.5822490995272041E-2</v>
      </c>
      <c r="Q27" s="33">
        <f>O27</f>
        <v>0.20059419249711416</v>
      </c>
      <c r="R27" s="25">
        <f>Q27/$O$52*1000</f>
        <v>5.5822490995272041E-2</v>
      </c>
      <c r="S27" s="25">
        <f t="shared" ref="S27" si="83">Q27-O27</f>
        <v>0</v>
      </c>
      <c r="T27" s="28">
        <f t="shared" ref="T27" si="84">S27/O27*100</f>
        <v>0</v>
      </c>
      <c r="U27" s="29">
        <v>4.5823048044014117E-2</v>
      </c>
      <c r="V27" s="27">
        <f>U27/$U$52*1000</f>
        <v>5.6952757330686082E-2</v>
      </c>
      <c r="W27" s="33">
        <f>U27</f>
        <v>4.5823048044014117E-2</v>
      </c>
      <c r="X27" s="25">
        <f>W27/$U$52*1000</f>
        <v>5.6952757330686082E-2</v>
      </c>
      <c r="Y27" s="25">
        <f t="shared" ref="Y27" si="85">W27-U27</f>
        <v>0</v>
      </c>
      <c r="Z27" s="26">
        <f t="shared" ref="Z27" si="86">Y27/U27*100</f>
        <v>0</v>
      </c>
      <c r="AA27" s="29">
        <v>0</v>
      </c>
      <c r="AB27" s="27" t="e">
        <f>AA27/$AA$52*1000</f>
        <v>#DIV/0!</v>
      </c>
      <c r="AC27" s="33">
        <f>AA27</f>
        <v>0</v>
      </c>
      <c r="AD27" s="25" t="e">
        <f>AC27/$AA$52*1000</f>
        <v>#DIV/0!</v>
      </c>
      <c r="AE27" s="25">
        <f t="shared" ref="AE27" si="87">AC27-AA27</f>
        <v>0</v>
      </c>
      <c r="AF27" s="39" t="e">
        <f t="shared" ref="AF27" si="88">AE27/AA27*100</f>
        <v>#DIV/0!</v>
      </c>
    </row>
    <row r="28" spans="1:32" s="14" customFormat="1" ht="22.5" customHeight="1" x14ac:dyDescent="0.3">
      <c r="A28" s="61" t="s">
        <v>100</v>
      </c>
      <c r="B28" s="62" t="s">
        <v>24</v>
      </c>
      <c r="C28" s="29">
        <f t="shared" si="2"/>
        <v>32.283743148751377</v>
      </c>
      <c r="D28" s="27">
        <f t="shared" si="0"/>
        <v>4.9973727322023942</v>
      </c>
      <c r="E28" s="33">
        <f t="shared" si="3"/>
        <v>32.283743148751377</v>
      </c>
      <c r="F28" s="25">
        <f t="shared" si="1"/>
        <v>4.9973727322023942</v>
      </c>
      <c r="G28" s="25">
        <f t="shared" si="4"/>
        <v>0</v>
      </c>
      <c r="H28" s="26">
        <f t="shared" si="5"/>
        <v>0</v>
      </c>
      <c r="I28" s="29">
        <v>10.420926297107284</v>
      </c>
      <c r="J28" s="27">
        <f>I28/$I$52*1000</f>
        <v>5.0534682081539648</v>
      </c>
      <c r="K28" s="33">
        <f t="shared" ref="K28" si="89">I28</f>
        <v>10.420926297107284</v>
      </c>
      <c r="L28" s="25">
        <f>K28/$I$52*1000</f>
        <v>5.0534682081539648</v>
      </c>
      <c r="M28" s="25">
        <f t="shared" si="6"/>
        <v>0</v>
      </c>
      <c r="N28" s="26">
        <f t="shared" si="7"/>
        <v>0</v>
      </c>
      <c r="O28" s="29">
        <v>17.797269713909792</v>
      </c>
      <c r="P28" s="27">
        <f>O28/$O$52*1000</f>
        <v>4.952725280715442</v>
      </c>
      <c r="Q28" s="33">
        <f t="shared" ref="Q28" si="90">O28</f>
        <v>17.797269713909792</v>
      </c>
      <c r="R28" s="25">
        <f>Q28/$O$52*1000</f>
        <v>4.952725280715442</v>
      </c>
      <c r="S28" s="25">
        <f t="shared" si="8"/>
        <v>0</v>
      </c>
      <c r="T28" s="28">
        <f t="shared" si="9"/>
        <v>0</v>
      </c>
      <c r="U28" s="29">
        <v>4.0655471377343</v>
      </c>
      <c r="V28" s="27">
        <f>U28/$U$52*1000</f>
        <v>5.0530056256721156</v>
      </c>
      <c r="W28" s="33">
        <f t="shared" ref="W28" si="91">U28</f>
        <v>4.0655471377343</v>
      </c>
      <c r="X28" s="25">
        <f>W28/$U$52*1000</f>
        <v>5.0530056256721156</v>
      </c>
      <c r="Y28" s="25">
        <f t="shared" si="10"/>
        <v>0</v>
      </c>
      <c r="Z28" s="26">
        <f t="shared" si="11"/>
        <v>0</v>
      </c>
      <c r="AA28" s="29">
        <v>0</v>
      </c>
      <c r="AB28" s="27" t="e">
        <f>AA28/$AA$52*1000</f>
        <v>#DIV/0!</v>
      </c>
      <c r="AC28" s="33">
        <f t="shared" ref="AC28" si="92">AA28</f>
        <v>0</v>
      </c>
      <c r="AD28" s="25" t="e">
        <f>AC28/$AA$52*1000</f>
        <v>#DIV/0!</v>
      </c>
      <c r="AE28" s="25">
        <f t="shared" si="12"/>
        <v>0</v>
      </c>
      <c r="AF28" s="39" t="e">
        <f t="shared" si="13"/>
        <v>#DIV/0!</v>
      </c>
    </row>
    <row r="29" spans="1:32" s="14" customFormat="1" ht="22.5" customHeight="1" x14ac:dyDescent="0.3">
      <c r="A29" s="59" t="s">
        <v>53</v>
      </c>
      <c r="B29" s="60" t="s">
        <v>25</v>
      </c>
      <c r="C29" s="29">
        <f t="shared" si="2"/>
        <v>305.24550344371522</v>
      </c>
      <c r="D29" s="27">
        <f t="shared" si="0"/>
        <v>47.250578983621132</v>
      </c>
      <c r="E29" s="33">
        <f t="shared" si="3"/>
        <v>305.24550344371522</v>
      </c>
      <c r="F29" s="25">
        <f t="shared" si="1"/>
        <v>47.250578983621132</v>
      </c>
      <c r="G29" s="25">
        <f t="shared" si="4"/>
        <v>0</v>
      </c>
      <c r="H29" s="26">
        <f t="shared" si="5"/>
        <v>0</v>
      </c>
      <c r="I29" s="29">
        <f>I31+I32+I33+I30</f>
        <v>98.530733541454026</v>
      </c>
      <c r="J29" s="27">
        <f>J31+J32+J33+J30</f>
        <v>47.780966421002724</v>
      </c>
      <c r="K29" s="29">
        <f>K31+K33+K32+K30</f>
        <v>98.530733541454026</v>
      </c>
      <c r="L29" s="25">
        <f>L31+L32+L33</f>
        <v>13.400206087043081</v>
      </c>
      <c r="M29" s="25">
        <f t="shared" si="6"/>
        <v>0</v>
      </c>
      <c r="N29" s="26">
        <f t="shared" si="7"/>
        <v>0</v>
      </c>
      <c r="O29" s="29">
        <f>O31+O32+O33+O30</f>
        <v>168.27468019166457</v>
      </c>
      <c r="P29" s="27">
        <f>P31+P32+P33+P30</f>
        <v>46.828433579235437</v>
      </c>
      <c r="Q29" s="29">
        <f>Q31+Q32+Q33+Q30</f>
        <v>168.27468019166457</v>
      </c>
      <c r="R29" s="25">
        <f>R31+R32+R33</f>
        <v>13.133067572683778</v>
      </c>
      <c r="S29" s="25">
        <f t="shared" si="8"/>
        <v>0</v>
      </c>
      <c r="T29" s="28">
        <f t="shared" si="9"/>
        <v>0</v>
      </c>
      <c r="U29" s="29">
        <f>U31+U32+U33+U30</f>
        <v>38.440089710596617</v>
      </c>
      <c r="V29" s="27">
        <f>V31+V32+V33+V30</f>
        <v>47.776592664777937</v>
      </c>
      <c r="W29" s="29">
        <f>W31+W32+W33+W30</f>
        <v>38.440089710596617</v>
      </c>
      <c r="X29" s="25">
        <f>X31+X32+X33</f>
        <v>13.398979463992593</v>
      </c>
      <c r="Y29" s="25">
        <f t="shared" si="10"/>
        <v>0</v>
      </c>
      <c r="Z29" s="26">
        <f t="shared" si="11"/>
        <v>0</v>
      </c>
      <c r="AA29" s="29">
        <f>AA31+AA32+AA33+AA30</f>
        <v>0</v>
      </c>
      <c r="AB29" s="27" t="e">
        <f>AB31+AB32+AB33+AB30</f>
        <v>#DIV/0!</v>
      </c>
      <c r="AC29" s="29">
        <f>AC31+AC32+AC33</f>
        <v>0</v>
      </c>
      <c r="AD29" s="25" t="e">
        <f>AD31+AD32+AD33</f>
        <v>#DIV/0!</v>
      </c>
      <c r="AE29" s="25">
        <f t="shared" si="12"/>
        <v>0</v>
      </c>
      <c r="AF29" s="39" t="e">
        <f t="shared" si="13"/>
        <v>#DIV/0!</v>
      </c>
    </row>
    <row r="30" spans="1:32" s="14" customFormat="1" ht="22.5" customHeight="1" x14ac:dyDescent="0.3">
      <c r="A30" s="66" t="s">
        <v>54</v>
      </c>
      <c r="B30" s="62" t="s">
        <v>98</v>
      </c>
      <c r="C30" s="29">
        <f>I30+O30+U30+AA30</f>
        <v>219.63918444948413</v>
      </c>
      <c r="D30" s="27">
        <f>C30/$C$52*1000</f>
        <v>33.999120431407476</v>
      </c>
      <c r="E30" s="33">
        <f t="shared" ref="E30" si="93">K30+Q30+W30+AC30</f>
        <v>219.63918444948413</v>
      </c>
      <c r="F30" s="25">
        <f t="shared" ref="F30" si="94">E30/$C$52*1000</f>
        <v>33.999120431407476</v>
      </c>
      <c r="G30" s="25">
        <f>E30-C30</f>
        <v>0</v>
      </c>
      <c r="H30" s="26">
        <f>G30/C30*100</f>
        <v>0</v>
      </c>
      <c r="I30" s="29">
        <v>70.897719095294903</v>
      </c>
      <c r="J30" s="27">
        <f>I30/$I$52*1000</f>
        <v>34.380760333959643</v>
      </c>
      <c r="K30" s="33">
        <f>I30</f>
        <v>70.897719095294903</v>
      </c>
      <c r="L30" s="25">
        <f>K30/$I$52*1000</f>
        <v>34.380760333959643</v>
      </c>
      <c r="M30" s="25">
        <f t="shared" ref="M30" si="95">K30-I30</f>
        <v>0</v>
      </c>
      <c r="N30" s="26">
        <f t="shared" ref="N30" si="96">M30/I30*100</f>
        <v>0</v>
      </c>
      <c r="O30" s="29">
        <v>121.08192619980736</v>
      </c>
      <c r="P30" s="27">
        <f>O30/$O$52*1000</f>
        <v>33.695366006551659</v>
      </c>
      <c r="Q30" s="33">
        <f>O30</f>
        <v>121.08192619980736</v>
      </c>
      <c r="R30" s="25">
        <f>Q30/$O$52*1000</f>
        <v>33.695366006551659</v>
      </c>
      <c r="S30" s="25">
        <f t="shared" ref="S30" si="97">Q30-O30</f>
        <v>0</v>
      </c>
      <c r="T30" s="28">
        <f t="shared" ref="T30" si="98">S30/O30*100</f>
        <v>0</v>
      </c>
      <c r="U30" s="29">
        <v>27.659539154381871</v>
      </c>
      <c r="V30" s="27">
        <f>U30/$U$52*1000</f>
        <v>34.377613200785348</v>
      </c>
      <c r="W30" s="33">
        <f>U30</f>
        <v>27.659539154381871</v>
      </c>
      <c r="X30" s="25">
        <f>W30/$U$52*1000</f>
        <v>34.377613200785348</v>
      </c>
      <c r="Y30" s="25">
        <f t="shared" ref="Y30" si="99">W30-U30</f>
        <v>0</v>
      </c>
      <c r="Z30" s="26">
        <f t="shared" ref="Z30" si="100">Y30/U30*100</f>
        <v>0</v>
      </c>
      <c r="AA30" s="29">
        <v>0</v>
      </c>
      <c r="AB30" s="27" t="e">
        <f>AA30/$AA$52*1000</f>
        <v>#DIV/0!</v>
      </c>
      <c r="AC30" s="33">
        <f>AA30</f>
        <v>0</v>
      </c>
      <c r="AD30" s="25" t="e">
        <f>AC30/$AA$52*1000</f>
        <v>#DIV/0!</v>
      </c>
      <c r="AE30" s="25">
        <f t="shared" ref="AE30" si="101">AC30-AA30</f>
        <v>0</v>
      </c>
      <c r="AF30" s="39" t="e">
        <f t="shared" ref="AF30" si="102">AE30/AA30*100</f>
        <v>#DIV/0!</v>
      </c>
    </row>
    <row r="31" spans="1:32" s="14" customFormat="1" ht="22.5" customHeight="1" x14ac:dyDescent="0.3">
      <c r="A31" s="61" t="s">
        <v>85</v>
      </c>
      <c r="B31" s="67" t="s">
        <v>83</v>
      </c>
      <c r="C31" s="29">
        <f>I31+O31+U31+AA31</f>
        <v>48.320618045229118</v>
      </c>
      <c r="D31" s="27">
        <f>C31/$C$52*1000</f>
        <v>7.4798061027113087</v>
      </c>
      <c r="E31" s="33">
        <f t="shared" si="3"/>
        <v>48.320618045229118</v>
      </c>
      <c r="F31" s="25">
        <f t="shared" si="1"/>
        <v>7.4798061027113087</v>
      </c>
      <c r="G31" s="25">
        <f>E31-C31</f>
        <v>0</v>
      </c>
      <c r="H31" s="26">
        <f>G31/C31*100</f>
        <v>0</v>
      </c>
      <c r="I31" s="29">
        <v>15.59749738312115</v>
      </c>
      <c r="J31" s="27">
        <f>I31/$I$52*1000</f>
        <v>7.5637668768703623</v>
      </c>
      <c r="K31" s="33">
        <f>I31</f>
        <v>15.59749738312115</v>
      </c>
      <c r="L31" s="25">
        <f>K31/$I$52*1000</f>
        <v>7.5637668768703623</v>
      </c>
      <c r="M31" s="25">
        <f t="shared" si="6"/>
        <v>0</v>
      </c>
      <c r="N31" s="26">
        <f t="shared" si="7"/>
        <v>0</v>
      </c>
      <c r="O31" s="29">
        <v>26.638022367211779</v>
      </c>
      <c r="P31" s="27">
        <f>O31/$O$52*1000</f>
        <v>7.4129801327470011</v>
      </c>
      <c r="Q31" s="33">
        <f>O31</f>
        <v>26.638022367211779</v>
      </c>
      <c r="R31" s="25">
        <f>Q31/$O$52*1000</f>
        <v>7.4129801327470011</v>
      </c>
      <c r="S31" s="25">
        <f t="shared" si="8"/>
        <v>0</v>
      </c>
      <c r="T31" s="28">
        <f t="shared" si="9"/>
        <v>0</v>
      </c>
      <c r="U31" s="29">
        <v>6.0850982948961923</v>
      </c>
      <c r="V31" s="27">
        <f>U31/$U$52*1000</f>
        <v>7.5630745076083201</v>
      </c>
      <c r="W31" s="33">
        <f>U31</f>
        <v>6.0850982948961923</v>
      </c>
      <c r="X31" s="25">
        <f>W31/$U$52*1000</f>
        <v>7.5630745076083201</v>
      </c>
      <c r="Y31" s="25">
        <f t="shared" si="10"/>
        <v>0</v>
      </c>
      <c r="Z31" s="26">
        <f t="shared" si="11"/>
        <v>0</v>
      </c>
      <c r="AA31" s="29">
        <v>0</v>
      </c>
      <c r="AB31" s="27" t="e">
        <f>AA31/$AA$52*1000</f>
        <v>#DIV/0!</v>
      </c>
      <c r="AC31" s="33">
        <f>AA31</f>
        <v>0</v>
      </c>
      <c r="AD31" s="25" t="e">
        <f>AC31/$AA$52*1000</f>
        <v>#DIV/0!</v>
      </c>
      <c r="AE31" s="25">
        <f t="shared" si="12"/>
        <v>0</v>
      </c>
      <c r="AF31" s="39" t="e">
        <f t="shared" si="13"/>
        <v>#DIV/0!</v>
      </c>
    </row>
    <row r="32" spans="1:32" s="14" customFormat="1" ht="22.5" customHeight="1" x14ac:dyDescent="0.3">
      <c r="A32" s="61" t="s">
        <v>55</v>
      </c>
      <c r="B32" s="62" t="s">
        <v>20</v>
      </c>
      <c r="C32" s="29">
        <f t="shared" ref="C32" si="103">I32+O32+U32+AA32</f>
        <v>7.1576893742147254</v>
      </c>
      <c r="D32" s="27">
        <f t="shared" si="0"/>
        <v>1.1079769015464656</v>
      </c>
      <c r="E32" s="33">
        <f t="shared" ref="E32" si="104">K32+Q32+W32+AC32</f>
        <v>7.1576893742147254</v>
      </c>
      <c r="F32" s="25">
        <f t="shared" si="1"/>
        <v>1.1079769015464656</v>
      </c>
      <c r="G32" s="25">
        <f t="shared" ref="G32" si="105">E32-C32</f>
        <v>0</v>
      </c>
      <c r="H32" s="26">
        <f t="shared" ref="H32" si="106">G32/C32*100</f>
        <v>0</v>
      </c>
      <c r="I32" s="29">
        <v>2.3104431565632901</v>
      </c>
      <c r="J32" s="27">
        <f>I32/$I$52*1000</f>
        <v>1.1204139349570603</v>
      </c>
      <c r="K32" s="33">
        <f>I32</f>
        <v>2.3104431565632901</v>
      </c>
      <c r="L32" s="25">
        <f>K32/$I$52*1000</f>
        <v>1.1204139349570603</v>
      </c>
      <c r="M32" s="25">
        <f t="shared" ref="M32" si="107">K32-I32</f>
        <v>0</v>
      </c>
      <c r="N32" s="26">
        <f t="shared" ref="N32" si="108">M32/I32*100</f>
        <v>0</v>
      </c>
      <c r="O32" s="29">
        <v>3.9458661201191152</v>
      </c>
      <c r="P32" s="27">
        <f>O32/$O$52*1000</f>
        <v>1.0980780311576928</v>
      </c>
      <c r="Q32" s="33">
        <f>O32</f>
        <v>3.9458661201191152</v>
      </c>
      <c r="R32" s="25">
        <f>Q32/$O$52*1000</f>
        <v>1.0980780311576928</v>
      </c>
      <c r="S32" s="25">
        <f t="shared" ref="S32" si="109">Q32-O32</f>
        <v>0</v>
      </c>
      <c r="T32" s="28">
        <f t="shared" ref="T32" si="110">S32/O32*100</f>
        <v>0</v>
      </c>
      <c r="U32" s="29">
        <v>0.9013800975323204</v>
      </c>
      <c r="V32" s="27">
        <f>U32/$U$52*1000</f>
        <v>1.1203113749255369</v>
      </c>
      <c r="W32" s="33">
        <f>U32</f>
        <v>0.9013800975323204</v>
      </c>
      <c r="X32" s="25">
        <f>W32/$U$52*1000</f>
        <v>1.1203113749255369</v>
      </c>
      <c r="Y32" s="25">
        <f t="shared" ref="Y32" si="111">W32-U32</f>
        <v>0</v>
      </c>
      <c r="Z32" s="26">
        <f t="shared" ref="Z32" si="112">Y32/U32*100</f>
        <v>0</v>
      </c>
      <c r="AA32" s="29">
        <v>0</v>
      </c>
      <c r="AB32" s="27" t="e">
        <f>AA32/$AA$52*1000</f>
        <v>#DIV/0!</v>
      </c>
      <c r="AC32" s="33">
        <f>AA32</f>
        <v>0</v>
      </c>
      <c r="AD32" s="25" t="e">
        <f>AC32/$AA$52*1000</f>
        <v>#DIV/0!</v>
      </c>
      <c r="AE32" s="25">
        <f t="shared" ref="AE32" si="113">AC32-AA32</f>
        <v>0</v>
      </c>
      <c r="AF32" s="39" t="e">
        <f t="shared" ref="AF32" si="114">AE32/AA32*100</f>
        <v>#DIV/0!</v>
      </c>
    </row>
    <row r="33" spans="1:32" s="14" customFormat="1" ht="22.5" customHeight="1" x14ac:dyDescent="0.3">
      <c r="A33" s="61" t="s">
        <v>101</v>
      </c>
      <c r="B33" s="62" t="s">
        <v>24</v>
      </c>
      <c r="C33" s="29">
        <f t="shared" si="2"/>
        <v>30.128011574787216</v>
      </c>
      <c r="D33" s="27">
        <f t="shared" si="0"/>
        <v>4.6636755479558731</v>
      </c>
      <c r="E33" s="33">
        <f t="shared" si="3"/>
        <v>30.128011574787216</v>
      </c>
      <c r="F33" s="25">
        <f t="shared" si="1"/>
        <v>4.6636755479558731</v>
      </c>
      <c r="G33" s="25">
        <f t="shared" si="4"/>
        <v>0</v>
      </c>
      <c r="H33" s="26">
        <f t="shared" si="5"/>
        <v>0</v>
      </c>
      <c r="I33" s="29">
        <v>9.7250739064746803</v>
      </c>
      <c r="J33" s="27">
        <f>I33/$I$52*1000</f>
        <v>4.7160252752156593</v>
      </c>
      <c r="K33" s="33">
        <f t="shared" ref="K33" si="115">I33</f>
        <v>9.7250739064746803</v>
      </c>
      <c r="L33" s="25">
        <f>K33/$I$52*1000</f>
        <v>4.7160252752156593</v>
      </c>
      <c r="M33" s="25">
        <f t="shared" si="6"/>
        <v>0</v>
      </c>
      <c r="N33" s="26">
        <f t="shared" si="7"/>
        <v>0</v>
      </c>
      <c r="O33" s="29">
        <v>16.608865504526307</v>
      </c>
      <c r="P33" s="27">
        <f>O33/$O$52*1000</f>
        <v>4.6220094087790837</v>
      </c>
      <c r="Q33" s="33">
        <f t="shared" ref="Q33" si="116">O33</f>
        <v>16.608865504526307</v>
      </c>
      <c r="R33" s="25">
        <f>Q33/$O$52*1000</f>
        <v>4.6220094087790837</v>
      </c>
      <c r="S33" s="25">
        <f t="shared" si="8"/>
        <v>0</v>
      </c>
      <c r="T33" s="28">
        <f t="shared" si="9"/>
        <v>0</v>
      </c>
      <c r="U33" s="29">
        <v>3.7940721637862302</v>
      </c>
      <c r="V33" s="27">
        <f>U33/$U$52*1000</f>
        <v>4.7155935814587346</v>
      </c>
      <c r="W33" s="33">
        <f>U33</f>
        <v>3.7940721637862302</v>
      </c>
      <c r="X33" s="25">
        <f>W33/$U$52*1000</f>
        <v>4.7155935814587346</v>
      </c>
      <c r="Y33" s="25">
        <f t="shared" si="10"/>
        <v>0</v>
      </c>
      <c r="Z33" s="26">
        <f t="shared" si="11"/>
        <v>0</v>
      </c>
      <c r="AA33" s="29">
        <v>0</v>
      </c>
      <c r="AB33" s="27" t="e">
        <f>AA33/$AA$52*1000</f>
        <v>#DIV/0!</v>
      </c>
      <c r="AC33" s="33">
        <f t="shared" ref="AC33" si="117">AA33</f>
        <v>0</v>
      </c>
      <c r="AD33" s="25" t="e">
        <f>AC33/$AA$52*1000</f>
        <v>#DIV/0!</v>
      </c>
      <c r="AE33" s="25">
        <f t="shared" si="12"/>
        <v>0</v>
      </c>
      <c r="AF33" s="39" t="e">
        <f t="shared" si="13"/>
        <v>#DIV/0!</v>
      </c>
    </row>
    <row r="34" spans="1:32" s="14" customFormat="1" ht="22.5" customHeight="1" x14ac:dyDescent="0.3">
      <c r="A34" s="59">
        <v>3</v>
      </c>
      <c r="B34" s="60" t="s">
        <v>26</v>
      </c>
      <c r="C34" s="29">
        <f t="shared" si="2"/>
        <v>0</v>
      </c>
      <c r="D34" s="27">
        <f t="shared" si="0"/>
        <v>0</v>
      </c>
      <c r="E34" s="33">
        <f t="shared" si="3"/>
        <v>0</v>
      </c>
      <c r="F34" s="25">
        <f t="shared" si="1"/>
        <v>0</v>
      </c>
      <c r="G34" s="25"/>
      <c r="H34" s="41"/>
      <c r="I34" s="24">
        <v>0</v>
      </c>
      <c r="J34" s="40">
        <v>0</v>
      </c>
      <c r="K34" s="33">
        <v>0</v>
      </c>
      <c r="L34" s="25">
        <v>0</v>
      </c>
      <c r="M34" s="25"/>
      <c r="N34" s="41"/>
      <c r="O34" s="24">
        <v>0</v>
      </c>
      <c r="P34" s="40">
        <v>0</v>
      </c>
      <c r="Q34" s="33">
        <v>0</v>
      </c>
      <c r="R34" s="25">
        <v>0</v>
      </c>
      <c r="S34" s="25"/>
      <c r="T34" s="42"/>
      <c r="U34" s="24">
        <v>0</v>
      </c>
      <c r="V34" s="40">
        <v>0</v>
      </c>
      <c r="W34" s="33">
        <v>0</v>
      </c>
      <c r="X34" s="25">
        <v>0</v>
      </c>
      <c r="Y34" s="25"/>
      <c r="Z34" s="41"/>
      <c r="AA34" s="24">
        <v>0</v>
      </c>
      <c r="AB34" s="40">
        <v>0</v>
      </c>
      <c r="AC34" s="33">
        <v>0</v>
      </c>
      <c r="AD34" s="25">
        <v>0</v>
      </c>
      <c r="AE34" s="25"/>
      <c r="AF34" s="43"/>
    </row>
    <row r="35" spans="1:32" s="14" customFormat="1" ht="22.5" customHeight="1" x14ac:dyDescent="0.3">
      <c r="A35" s="61" t="s">
        <v>56</v>
      </c>
      <c r="B35" s="62" t="s">
        <v>23</v>
      </c>
      <c r="C35" s="29">
        <f t="shared" si="2"/>
        <v>0</v>
      </c>
      <c r="D35" s="27">
        <f t="shared" si="0"/>
        <v>0</v>
      </c>
      <c r="E35" s="33">
        <f t="shared" si="3"/>
        <v>0</v>
      </c>
      <c r="F35" s="25">
        <f t="shared" si="1"/>
        <v>0</v>
      </c>
      <c r="G35" s="25"/>
      <c r="H35" s="41"/>
      <c r="I35" s="24">
        <v>0</v>
      </c>
      <c r="J35" s="40">
        <v>0</v>
      </c>
      <c r="K35" s="33">
        <v>0</v>
      </c>
      <c r="L35" s="25">
        <v>0</v>
      </c>
      <c r="M35" s="25"/>
      <c r="N35" s="41"/>
      <c r="O35" s="24">
        <v>0</v>
      </c>
      <c r="P35" s="40">
        <v>0</v>
      </c>
      <c r="Q35" s="33">
        <v>0</v>
      </c>
      <c r="R35" s="25">
        <v>0</v>
      </c>
      <c r="S35" s="25"/>
      <c r="T35" s="41"/>
      <c r="U35" s="24">
        <v>0</v>
      </c>
      <c r="V35" s="40">
        <v>0</v>
      </c>
      <c r="W35" s="33">
        <v>0</v>
      </c>
      <c r="X35" s="25">
        <v>0</v>
      </c>
      <c r="Y35" s="25"/>
      <c r="Z35" s="41"/>
      <c r="AA35" s="24">
        <v>0</v>
      </c>
      <c r="AB35" s="40">
        <v>0</v>
      </c>
      <c r="AC35" s="33">
        <v>0</v>
      </c>
      <c r="AD35" s="25">
        <v>0</v>
      </c>
      <c r="AE35" s="25"/>
      <c r="AF35" s="43"/>
    </row>
    <row r="36" spans="1:32" s="14" customFormat="1" ht="22.5" customHeight="1" x14ac:dyDescent="0.3">
      <c r="A36" s="61" t="s">
        <v>57</v>
      </c>
      <c r="B36" s="62" t="s">
        <v>19</v>
      </c>
      <c r="C36" s="29">
        <f t="shared" si="2"/>
        <v>0</v>
      </c>
      <c r="D36" s="27">
        <f t="shared" si="0"/>
        <v>0</v>
      </c>
      <c r="E36" s="33">
        <f t="shared" si="3"/>
        <v>0</v>
      </c>
      <c r="F36" s="25">
        <f t="shared" si="1"/>
        <v>0</v>
      </c>
      <c r="G36" s="25"/>
      <c r="H36" s="41"/>
      <c r="I36" s="24">
        <v>0</v>
      </c>
      <c r="J36" s="40">
        <v>0</v>
      </c>
      <c r="K36" s="33">
        <v>0</v>
      </c>
      <c r="L36" s="25">
        <v>0</v>
      </c>
      <c r="M36" s="25"/>
      <c r="N36" s="41"/>
      <c r="O36" s="24">
        <v>0</v>
      </c>
      <c r="P36" s="40">
        <v>0</v>
      </c>
      <c r="Q36" s="33">
        <v>0</v>
      </c>
      <c r="R36" s="25">
        <v>0</v>
      </c>
      <c r="S36" s="25"/>
      <c r="T36" s="41"/>
      <c r="U36" s="24">
        <v>0</v>
      </c>
      <c r="V36" s="40">
        <v>0</v>
      </c>
      <c r="W36" s="33">
        <v>0</v>
      </c>
      <c r="X36" s="25">
        <v>0</v>
      </c>
      <c r="Y36" s="25"/>
      <c r="Z36" s="41"/>
      <c r="AA36" s="24">
        <v>0</v>
      </c>
      <c r="AB36" s="40">
        <v>0</v>
      </c>
      <c r="AC36" s="33">
        <v>0</v>
      </c>
      <c r="AD36" s="25">
        <v>0</v>
      </c>
      <c r="AE36" s="25"/>
      <c r="AF36" s="43"/>
    </row>
    <row r="37" spans="1:32" s="14" customFormat="1" ht="22.5" customHeight="1" x14ac:dyDescent="0.3">
      <c r="A37" s="61" t="s">
        <v>58</v>
      </c>
      <c r="B37" s="62" t="s">
        <v>24</v>
      </c>
      <c r="C37" s="29">
        <f t="shared" si="2"/>
        <v>0</v>
      </c>
      <c r="D37" s="27">
        <f t="shared" si="0"/>
        <v>0</v>
      </c>
      <c r="E37" s="33">
        <f t="shared" si="3"/>
        <v>0</v>
      </c>
      <c r="F37" s="25">
        <f t="shared" si="1"/>
        <v>0</v>
      </c>
      <c r="G37" s="25"/>
      <c r="H37" s="41"/>
      <c r="I37" s="24">
        <v>0</v>
      </c>
      <c r="J37" s="40">
        <v>0</v>
      </c>
      <c r="K37" s="33">
        <v>0</v>
      </c>
      <c r="L37" s="25">
        <v>0</v>
      </c>
      <c r="M37" s="25"/>
      <c r="N37" s="41"/>
      <c r="O37" s="24">
        <v>0</v>
      </c>
      <c r="P37" s="40">
        <v>0</v>
      </c>
      <c r="Q37" s="33">
        <v>0</v>
      </c>
      <c r="R37" s="25">
        <v>0</v>
      </c>
      <c r="S37" s="25"/>
      <c r="T37" s="41"/>
      <c r="U37" s="24">
        <v>0</v>
      </c>
      <c r="V37" s="40">
        <v>0</v>
      </c>
      <c r="W37" s="33">
        <v>0</v>
      </c>
      <c r="X37" s="25">
        <v>0</v>
      </c>
      <c r="Y37" s="25"/>
      <c r="Z37" s="41"/>
      <c r="AA37" s="24">
        <v>0</v>
      </c>
      <c r="AB37" s="40">
        <v>0</v>
      </c>
      <c r="AC37" s="33">
        <v>0</v>
      </c>
      <c r="AD37" s="25">
        <v>0</v>
      </c>
      <c r="AE37" s="25"/>
      <c r="AF37" s="43"/>
    </row>
    <row r="38" spans="1:32" s="14" customFormat="1" ht="22.5" customHeight="1" x14ac:dyDescent="0.3">
      <c r="A38" s="59">
        <v>4</v>
      </c>
      <c r="B38" s="60" t="s">
        <v>27</v>
      </c>
      <c r="C38" s="29">
        <f t="shared" si="2"/>
        <v>0</v>
      </c>
      <c r="D38" s="27">
        <f t="shared" si="0"/>
        <v>0</v>
      </c>
      <c r="E38" s="33">
        <f t="shared" si="3"/>
        <v>0</v>
      </c>
      <c r="F38" s="25">
        <f t="shared" si="1"/>
        <v>0</v>
      </c>
      <c r="G38" s="25"/>
      <c r="H38" s="41"/>
      <c r="I38" s="24">
        <v>0</v>
      </c>
      <c r="J38" s="40">
        <v>0</v>
      </c>
      <c r="K38" s="33">
        <v>0</v>
      </c>
      <c r="L38" s="25">
        <v>0</v>
      </c>
      <c r="M38" s="25"/>
      <c r="N38" s="41"/>
      <c r="O38" s="24">
        <v>0</v>
      </c>
      <c r="P38" s="40">
        <v>0</v>
      </c>
      <c r="Q38" s="33">
        <v>0</v>
      </c>
      <c r="R38" s="25">
        <v>0</v>
      </c>
      <c r="S38" s="25"/>
      <c r="T38" s="41"/>
      <c r="U38" s="24">
        <v>0</v>
      </c>
      <c r="V38" s="40">
        <v>0</v>
      </c>
      <c r="W38" s="33">
        <v>0</v>
      </c>
      <c r="X38" s="25">
        <v>0</v>
      </c>
      <c r="Y38" s="25"/>
      <c r="Z38" s="41"/>
      <c r="AA38" s="24">
        <v>0</v>
      </c>
      <c r="AB38" s="40">
        <v>0</v>
      </c>
      <c r="AC38" s="33">
        <v>0</v>
      </c>
      <c r="AD38" s="25">
        <v>0</v>
      </c>
      <c r="AE38" s="25"/>
      <c r="AF38" s="43"/>
    </row>
    <row r="39" spans="1:32" s="14" customFormat="1" ht="22.5" customHeight="1" x14ac:dyDescent="0.3">
      <c r="A39" s="59">
        <v>5</v>
      </c>
      <c r="B39" s="60" t="s">
        <v>28</v>
      </c>
      <c r="C39" s="29">
        <f t="shared" si="2"/>
        <v>0</v>
      </c>
      <c r="D39" s="27">
        <f t="shared" si="0"/>
        <v>0</v>
      </c>
      <c r="E39" s="33">
        <f t="shared" si="3"/>
        <v>0</v>
      </c>
      <c r="F39" s="25">
        <f t="shared" si="1"/>
        <v>0</v>
      </c>
      <c r="G39" s="25"/>
      <c r="H39" s="41"/>
      <c r="I39" s="24">
        <v>0</v>
      </c>
      <c r="J39" s="40">
        <v>0</v>
      </c>
      <c r="K39" s="33">
        <v>0</v>
      </c>
      <c r="L39" s="25">
        <v>0</v>
      </c>
      <c r="M39" s="25"/>
      <c r="N39" s="41"/>
      <c r="O39" s="24">
        <v>0</v>
      </c>
      <c r="P39" s="40">
        <v>0</v>
      </c>
      <c r="Q39" s="33">
        <v>0</v>
      </c>
      <c r="R39" s="25">
        <v>0</v>
      </c>
      <c r="S39" s="25"/>
      <c r="T39" s="41"/>
      <c r="U39" s="24">
        <v>0</v>
      </c>
      <c r="V39" s="40">
        <v>0</v>
      </c>
      <c r="W39" s="33">
        <v>0</v>
      </c>
      <c r="X39" s="25">
        <v>0</v>
      </c>
      <c r="Y39" s="25"/>
      <c r="Z39" s="41"/>
      <c r="AA39" s="24">
        <v>0</v>
      </c>
      <c r="AB39" s="40">
        <v>0</v>
      </c>
      <c r="AC39" s="33">
        <v>0</v>
      </c>
      <c r="AD39" s="25">
        <v>0</v>
      </c>
      <c r="AE39" s="25"/>
      <c r="AF39" s="43"/>
    </row>
    <row r="40" spans="1:32" s="14" customFormat="1" ht="22.5" customHeight="1" x14ac:dyDescent="0.3">
      <c r="A40" s="59">
        <v>6</v>
      </c>
      <c r="B40" s="60" t="s">
        <v>29</v>
      </c>
      <c r="C40" s="29">
        <f t="shared" si="2"/>
        <v>17422.358746521546</v>
      </c>
      <c r="D40" s="27">
        <f t="shared" si="0"/>
        <v>2696.8998027690627</v>
      </c>
      <c r="E40" s="33">
        <f t="shared" si="3"/>
        <v>17420.917240425057</v>
      </c>
      <c r="F40" s="25">
        <f t="shared" si="1"/>
        <v>2696.6766643545757</v>
      </c>
      <c r="G40" s="25">
        <f t="shared" si="4"/>
        <v>-1.44150609648932</v>
      </c>
      <c r="H40" s="26">
        <f t="shared" ref="H40:H49" si="118">G40/C40*100</f>
        <v>-8.2738859729720778E-3</v>
      </c>
      <c r="I40" s="29">
        <f>I10+I29</f>
        <v>3853.1678076059343</v>
      </c>
      <c r="J40" s="27">
        <f>J10+J29</f>
        <v>1868.5345679706077</v>
      </c>
      <c r="K40" s="33">
        <f>K10+K29</f>
        <v>3852.7076663968401</v>
      </c>
      <c r="L40" s="25">
        <f>L10+L29</f>
        <v>1732.6592856128636</v>
      </c>
      <c r="M40" s="25">
        <f t="shared" ref="M40:M42" si="119">K40-I40</f>
        <v>-0.46014120909421763</v>
      </c>
      <c r="N40" s="26">
        <f t="shared" ref="N40" si="120">M40/I40*100</f>
        <v>-1.1941893840852844E-2</v>
      </c>
      <c r="O40" s="29">
        <f>O10+O29</f>
        <v>11039.891827409854</v>
      </c>
      <c r="P40" s="27">
        <f>P10+P29</f>
        <v>3072.2437895764606</v>
      </c>
      <c r="Q40" s="33">
        <f>Q10+Q29</f>
        <v>11039.089995222308</v>
      </c>
      <c r="R40" s="25">
        <f>R10+R29</f>
        <v>2939.072787423625</v>
      </c>
      <c r="S40" s="25">
        <f t="shared" ref="S40:S47" si="121">Q40-O40</f>
        <v>-0.80183218754609697</v>
      </c>
      <c r="T40" s="26">
        <f t="shared" ref="T40:T43" si="122">S40/O40*100</f>
        <v>-7.2630438783404302E-3</v>
      </c>
      <c r="U40" s="29">
        <f>U10+U29</f>
        <v>2529.2991115057589</v>
      </c>
      <c r="V40" s="27">
        <f>V10+V29</f>
        <v>3143.6267263570817</v>
      </c>
      <c r="W40" s="33">
        <f>W10+W29</f>
        <v>2529.1195788059085</v>
      </c>
      <c r="X40" s="25">
        <f>X10+X29</f>
        <v>3007.7638612744813</v>
      </c>
      <c r="Y40" s="25">
        <f t="shared" ref="Y40:Y42" si="123">W40-U40</f>
        <v>-0.17953269985036968</v>
      </c>
      <c r="Z40" s="26">
        <f t="shared" ref="Z40:Z42" si="124">Y40/U40*100</f>
        <v>-7.0981205438960162E-3</v>
      </c>
      <c r="AA40" s="29">
        <f>AA10+AA29</f>
        <v>0</v>
      </c>
      <c r="AB40" s="27" t="e">
        <f>AB10+AB29</f>
        <v>#DIV/0!</v>
      </c>
      <c r="AC40" s="33">
        <f>AC10+AC29</f>
        <v>0</v>
      </c>
      <c r="AD40" s="25" t="e">
        <f>AD10+AD29</f>
        <v>#DIV/0!</v>
      </c>
      <c r="AE40" s="25">
        <f t="shared" ref="AE40:AE42" si="125">AC40-AA40</f>
        <v>0</v>
      </c>
      <c r="AF40" s="39" t="e">
        <f t="shared" ref="AF40:AF42" si="126">AE40/AA40*100</f>
        <v>#DIV/0!</v>
      </c>
    </row>
    <row r="41" spans="1:32" s="14" customFormat="1" ht="22.5" customHeight="1" x14ac:dyDescent="0.3">
      <c r="A41" s="59"/>
      <c r="B41" s="68" t="s">
        <v>80</v>
      </c>
      <c r="C41" s="29">
        <f t="shared" si="2"/>
        <v>0</v>
      </c>
      <c r="D41" s="27">
        <f t="shared" si="0"/>
        <v>0</v>
      </c>
      <c r="E41" s="33">
        <f t="shared" si="3"/>
        <v>0</v>
      </c>
      <c r="F41" s="25">
        <f t="shared" si="1"/>
        <v>0</v>
      </c>
      <c r="G41" s="25"/>
      <c r="H41" s="26"/>
      <c r="I41" s="29">
        <v>0</v>
      </c>
      <c r="J41" s="27">
        <f>I41/I52*1000</f>
        <v>0</v>
      </c>
      <c r="K41" s="33">
        <f>I41</f>
        <v>0</v>
      </c>
      <c r="L41" s="25">
        <f t="shared" ref="L41:L43" si="127">K41/$I$52*1000</f>
        <v>0</v>
      </c>
      <c r="M41" s="25"/>
      <c r="N41" s="26"/>
      <c r="O41" s="29">
        <v>0</v>
      </c>
      <c r="P41" s="27">
        <f>O41/O52*1000</f>
        <v>0</v>
      </c>
      <c r="Q41" s="33">
        <f>O41</f>
        <v>0</v>
      </c>
      <c r="R41" s="25">
        <f t="shared" ref="R41:R43" si="128">Q41/$O$52*1000</f>
        <v>0</v>
      </c>
      <c r="S41" s="25"/>
      <c r="T41" s="26"/>
      <c r="U41" s="29">
        <v>0</v>
      </c>
      <c r="V41" s="27">
        <f>U41/U52*1000</f>
        <v>0</v>
      </c>
      <c r="W41" s="33">
        <f>U41</f>
        <v>0</v>
      </c>
      <c r="X41" s="25">
        <f>V41</f>
        <v>0</v>
      </c>
      <c r="Y41" s="25"/>
      <c r="Z41" s="26"/>
      <c r="AA41" s="29">
        <v>0</v>
      </c>
      <c r="AB41" s="27" t="e">
        <f t="shared" ref="AB41" si="129">AA41/$AA$52*1000</f>
        <v>#DIV/0!</v>
      </c>
      <c r="AC41" s="33"/>
      <c r="AD41" s="25"/>
      <c r="AE41" s="25"/>
      <c r="AF41" s="39"/>
    </row>
    <row r="42" spans="1:32" s="14" customFormat="1" ht="22.5" customHeight="1" x14ac:dyDescent="0.3">
      <c r="A42" s="59">
        <v>7</v>
      </c>
      <c r="B42" s="60" t="s">
        <v>30</v>
      </c>
      <c r="C42" s="29">
        <f>I42+O42+U42+AA42</f>
        <v>1070.9800284115856</v>
      </c>
      <c r="D42" s="27">
        <f t="shared" ref="D42:D49" si="130">C42/$C$52*1000</f>
        <v>165.78270884070031</v>
      </c>
      <c r="E42" s="33">
        <f t="shared" si="3"/>
        <v>1070.9800284115856</v>
      </c>
      <c r="F42" s="25">
        <f t="shared" ref="F42:F49" si="131">E42/$C$52*1000</f>
        <v>165.78270884070031</v>
      </c>
      <c r="G42" s="25">
        <f t="shared" si="4"/>
        <v>0</v>
      </c>
      <c r="H42" s="26">
        <f t="shared" si="118"/>
        <v>0</v>
      </c>
      <c r="I42" s="29">
        <f>I43+I44+I45+I46+I47</f>
        <v>252.50759464419639</v>
      </c>
      <c r="J42" s="27">
        <f>J43+J44+J45+J46+J47</f>
        <v>122.4496811004303</v>
      </c>
      <c r="K42" s="33">
        <f>K43+K44+K45+K46+K47</f>
        <v>252.50759464419639</v>
      </c>
      <c r="L42" s="25">
        <f>L43+L44+L45+L46+L47</f>
        <v>122.4496811004303</v>
      </c>
      <c r="M42" s="25">
        <f t="shared" si="119"/>
        <v>0</v>
      </c>
      <c r="N42" s="26">
        <f t="shared" ref="N42" si="132">M42/I42*100</f>
        <v>0</v>
      </c>
      <c r="O42" s="29">
        <f>O43+O44+O45+O46+O47</f>
        <v>664.03615550216477</v>
      </c>
      <c r="P42" s="27">
        <f>P43+P44+P45+P46+P47</f>
        <v>184.79175219186834</v>
      </c>
      <c r="Q42" s="33">
        <f>Q43+Q44+Q45+Q46+Q47</f>
        <v>664.03615550216477</v>
      </c>
      <c r="R42" s="25">
        <f>R43+R44+R45+R46+R47</f>
        <v>184.79175219186834</v>
      </c>
      <c r="S42" s="25">
        <f t="shared" si="121"/>
        <v>0</v>
      </c>
      <c r="T42" s="26">
        <f t="shared" si="122"/>
        <v>0</v>
      </c>
      <c r="U42" s="29">
        <f>U43+U44+U45+U46+U47</f>
        <v>154.4362782652245</v>
      </c>
      <c r="V42" s="27">
        <f t="shared" ref="V42:V48" si="133">U42/$U$52*1000</f>
        <v>191.94646045032374</v>
      </c>
      <c r="W42" s="33">
        <f>U42</f>
        <v>154.4362782652245</v>
      </c>
      <c r="X42" s="25">
        <f>X43+X44+X45+X46+X47</f>
        <v>191.94646045032377</v>
      </c>
      <c r="Y42" s="25">
        <f t="shared" si="123"/>
        <v>0</v>
      </c>
      <c r="Z42" s="26">
        <f t="shared" si="124"/>
        <v>0</v>
      </c>
      <c r="AA42" s="29">
        <f>AA43+AA44+AA45+AA46+AA47</f>
        <v>0</v>
      </c>
      <c r="AB42" s="27" t="e">
        <f>AA42/AA52*1000</f>
        <v>#DIV/0!</v>
      </c>
      <c r="AC42" s="33">
        <f>AC43+AC44+AC45+AC46+AC47</f>
        <v>0</v>
      </c>
      <c r="AD42" s="25" t="e">
        <f>AD43+AD44+AD45+AD46+AD47</f>
        <v>#DIV/0!</v>
      </c>
      <c r="AE42" s="25">
        <f t="shared" si="125"/>
        <v>0</v>
      </c>
      <c r="AF42" s="39" t="e">
        <f t="shared" si="126"/>
        <v>#DIV/0!</v>
      </c>
    </row>
    <row r="43" spans="1:32" s="14" customFormat="1" ht="22.5" customHeight="1" x14ac:dyDescent="0.3">
      <c r="A43" s="61" t="s">
        <v>59</v>
      </c>
      <c r="B43" s="62" t="s">
        <v>31</v>
      </c>
      <c r="C43" s="29">
        <f t="shared" si="2"/>
        <v>192.77640511408563</v>
      </c>
      <c r="D43" s="27">
        <f t="shared" si="130"/>
        <v>29.840887591326091</v>
      </c>
      <c r="E43" s="33">
        <f t="shared" si="3"/>
        <v>192.77640511408563</v>
      </c>
      <c r="F43" s="25">
        <f t="shared" si="131"/>
        <v>29.840887591326091</v>
      </c>
      <c r="G43" s="25"/>
      <c r="H43" s="41"/>
      <c r="I43" s="29">
        <v>45.451367035955414</v>
      </c>
      <c r="J43" s="27">
        <f t="shared" ref="J43:J48" si="134">I43/$I$52*1000</f>
        <v>22.040942598077486</v>
      </c>
      <c r="K43" s="33">
        <f>I43</f>
        <v>45.451367035955414</v>
      </c>
      <c r="L43" s="25">
        <f t="shared" si="127"/>
        <v>22.040942598077486</v>
      </c>
      <c r="M43" s="25">
        <f t="shared" ref="M43:M47" si="135">K43-I43</f>
        <v>0</v>
      </c>
      <c r="N43" s="41">
        <f t="shared" ref="N43" si="136">M43/I43*100</f>
        <v>0</v>
      </c>
      <c r="O43" s="29">
        <v>119.52650799038972</v>
      </c>
      <c r="P43" s="27">
        <f t="shared" ref="P43" si="137">O43/$O$52*1000</f>
        <v>33.262515394536322</v>
      </c>
      <c r="Q43" s="33">
        <f>O43</f>
        <v>119.52650799038972</v>
      </c>
      <c r="R43" s="25">
        <f t="shared" si="128"/>
        <v>33.262515394536322</v>
      </c>
      <c r="S43" s="25">
        <f t="shared" si="121"/>
        <v>0</v>
      </c>
      <c r="T43" s="41">
        <f t="shared" si="122"/>
        <v>0</v>
      </c>
      <c r="U43" s="29">
        <v>27.798530087740495</v>
      </c>
      <c r="V43" s="27">
        <f t="shared" si="133"/>
        <v>34.550362881058383</v>
      </c>
      <c r="W43" s="33">
        <f>U43</f>
        <v>27.798530087740495</v>
      </c>
      <c r="X43" s="25">
        <f t="shared" ref="X43:X47" si="138">W43/$U$52*1000</f>
        <v>34.550362881058383</v>
      </c>
      <c r="Y43" s="25">
        <f t="shared" ref="Y43:Y47" si="139">W43-U43</f>
        <v>0</v>
      </c>
      <c r="Z43" s="41">
        <f t="shared" ref="Z43" si="140">Y43/U43*100</f>
        <v>0</v>
      </c>
      <c r="AA43" s="29">
        <v>0</v>
      </c>
      <c r="AB43" s="27" t="e">
        <f t="shared" ref="AB43:AB48" si="141">AA43/$AA$52*1000</f>
        <v>#DIV/0!</v>
      </c>
      <c r="AC43" s="33">
        <f>AA43</f>
        <v>0</v>
      </c>
      <c r="AD43" s="25" t="e">
        <f t="shared" ref="AD43:AD45" si="142">AC43/$AA$52*1000</f>
        <v>#DIV/0!</v>
      </c>
      <c r="AE43" s="25"/>
      <c r="AF43" s="43"/>
    </row>
    <row r="44" spans="1:32" s="14" customFormat="1" ht="22.5" customHeight="1" x14ac:dyDescent="0.3">
      <c r="A44" s="61" t="s">
        <v>60</v>
      </c>
      <c r="B44" s="62" t="s">
        <v>32</v>
      </c>
      <c r="C44" s="29">
        <f t="shared" si="2"/>
        <v>0</v>
      </c>
      <c r="D44" s="27">
        <f t="shared" si="130"/>
        <v>0</v>
      </c>
      <c r="E44" s="33">
        <f t="shared" si="3"/>
        <v>0</v>
      </c>
      <c r="F44" s="25">
        <f t="shared" si="131"/>
        <v>0</v>
      </c>
      <c r="G44" s="25"/>
      <c r="H44" s="41"/>
      <c r="I44" s="24">
        <v>0</v>
      </c>
      <c r="J44" s="27">
        <f t="shared" si="134"/>
        <v>0</v>
      </c>
      <c r="K44" s="33">
        <v>0</v>
      </c>
      <c r="L44" s="25">
        <v>0</v>
      </c>
      <c r="M44" s="25">
        <f t="shared" si="135"/>
        <v>0</v>
      </c>
      <c r="N44" s="41"/>
      <c r="O44" s="24">
        <v>0</v>
      </c>
      <c r="P44" s="40">
        <v>0</v>
      </c>
      <c r="Q44" s="33">
        <v>0</v>
      </c>
      <c r="R44" s="25">
        <v>0</v>
      </c>
      <c r="S44" s="25">
        <f t="shared" si="121"/>
        <v>0</v>
      </c>
      <c r="T44" s="41"/>
      <c r="U44" s="24">
        <f t="shared" ref="U44:U45" si="143">T44/$U$52*1000</f>
        <v>0</v>
      </c>
      <c r="V44" s="40">
        <f t="shared" si="133"/>
        <v>0</v>
      </c>
      <c r="W44" s="33">
        <v>0</v>
      </c>
      <c r="X44" s="25">
        <f t="shared" si="138"/>
        <v>0</v>
      </c>
      <c r="Y44" s="25">
        <f t="shared" si="139"/>
        <v>0</v>
      </c>
      <c r="Z44" s="41"/>
      <c r="AA44" s="24">
        <v>0</v>
      </c>
      <c r="AB44" s="40" t="e">
        <f t="shared" si="141"/>
        <v>#DIV/0!</v>
      </c>
      <c r="AC44" s="33">
        <v>0</v>
      </c>
      <c r="AD44" s="25" t="e">
        <f t="shared" si="142"/>
        <v>#DIV/0!</v>
      </c>
      <c r="AE44" s="25"/>
      <c r="AF44" s="43"/>
    </row>
    <row r="45" spans="1:32" s="14" customFormat="1" ht="22.5" customHeight="1" x14ac:dyDescent="0.3">
      <c r="A45" s="61" t="s">
        <v>61</v>
      </c>
      <c r="B45" s="62" t="s">
        <v>33</v>
      </c>
      <c r="C45" s="29">
        <f t="shared" si="2"/>
        <v>0</v>
      </c>
      <c r="D45" s="27">
        <f t="shared" si="130"/>
        <v>0</v>
      </c>
      <c r="E45" s="33">
        <f t="shared" si="3"/>
        <v>0</v>
      </c>
      <c r="F45" s="25">
        <f t="shared" si="131"/>
        <v>0</v>
      </c>
      <c r="G45" s="25"/>
      <c r="H45" s="41"/>
      <c r="I45" s="24">
        <v>0</v>
      </c>
      <c r="J45" s="27">
        <f t="shared" si="134"/>
        <v>0</v>
      </c>
      <c r="K45" s="33">
        <v>0</v>
      </c>
      <c r="L45" s="25">
        <v>0</v>
      </c>
      <c r="M45" s="25">
        <f t="shared" si="135"/>
        <v>0</v>
      </c>
      <c r="N45" s="41"/>
      <c r="O45" s="24">
        <v>0</v>
      </c>
      <c r="P45" s="40">
        <v>0</v>
      </c>
      <c r="Q45" s="33">
        <v>0</v>
      </c>
      <c r="R45" s="25">
        <v>0</v>
      </c>
      <c r="S45" s="25">
        <f t="shared" si="121"/>
        <v>0</v>
      </c>
      <c r="T45" s="41"/>
      <c r="U45" s="24">
        <f t="shared" si="143"/>
        <v>0</v>
      </c>
      <c r="V45" s="40">
        <f t="shared" si="133"/>
        <v>0</v>
      </c>
      <c r="W45" s="33">
        <v>0</v>
      </c>
      <c r="X45" s="25">
        <f t="shared" si="138"/>
        <v>0</v>
      </c>
      <c r="Y45" s="25">
        <f t="shared" si="139"/>
        <v>0</v>
      </c>
      <c r="Z45" s="41"/>
      <c r="AA45" s="24">
        <v>0</v>
      </c>
      <c r="AB45" s="40" t="e">
        <f t="shared" si="141"/>
        <v>#DIV/0!</v>
      </c>
      <c r="AC45" s="33">
        <v>0</v>
      </c>
      <c r="AD45" s="25" t="e">
        <f t="shared" si="142"/>
        <v>#DIV/0!</v>
      </c>
      <c r="AE45" s="25"/>
      <c r="AF45" s="43"/>
    </row>
    <row r="46" spans="1:32" s="14" customFormat="1" ht="22.5" customHeight="1" x14ac:dyDescent="0.3">
      <c r="A46" s="61" t="s">
        <v>62</v>
      </c>
      <c r="B46" s="64" t="s">
        <v>34</v>
      </c>
      <c r="C46" s="29">
        <f>E46</f>
        <v>113.48351</v>
      </c>
      <c r="D46" s="27">
        <f t="shared" si="130"/>
        <v>17.56671758338382</v>
      </c>
      <c r="E46" s="33">
        <v>113.48351</v>
      </c>
      <c r="F46" s="25">
        <f t="shared" si="131"/>
        <v>17.56671758338382</v>
      </c>
      <c r="G46" s="25">
        <f t="shared" si="4"/>
        <v>0</v>
      </c>
      <c r="H46" s="26"/>
      <c r="I46" s="29">
        <f>$C$46/$C$52*I$52</f>
        <v>36.224917557246066</v>
      </c>
      <c r="J46" s="27">
        <f t="shared" si="134"/>
        <v>17.56671758338382</v>
      </c>
      <c r="K46" s="33">
        <v>36.224917557246066</v>
      </c>
      <c r="L46" s="25">
        <f t="shared" ref="L46" si="144">K46/$I$52*1000</f>
        <v>17.56671758338382</v>
      </c>
      <c r="M46" s="25">
        <f t="shared" si="135"/>
        <v>0</v>
      </c>
      <c r="N46" s="26"/>
      <c r="O46" s="29">
        <f>$C$46/$C$52*O$52</f>
        <v>63.124763256483575</v>
      </c>
      <c r="P46" s="27">
        <f t="shared" ref="P46:P48" si="145">O46/$O$52*1000</f>
        <v>17.56671758338382</v>
      </c>
      <c r="Q46" s="33">
        <v>63.124763256483575</v>
      </c>
      <c r="R46" s="25">
        <f t="shared" ref="R46" si="146">Q46/$O$52*1000</f>
        <v>17.56671758338382</v>
      </c>
      <c r="S46" s="25">
        <f t="shared" si="121"/>
        <v>0</v>
      </c>
      <c r="T46" s="26"/>
      <c r="U46" s="29">
        <f>$C$46/$C$52*U$52</f>
        <v>14.133829186270363</v>
      </c>
      <c r="V46" s="27">
        <f t="shared" si="133"/>
        <v>17.56671758338382</v>
      </c>
      <c r="W46" s="33">
        <v>14.133829186270363</v>
      </c>
      <c r="X46" s="25">
        <f t="shared" si="138"/>
        <v>17.56671758338382</v>
      </c>
      <c r="Y46" s="25">
        <f t="shared" si="139"/>
        <v>0</v>
      </c>
      <c r="Z46" s="26"/>
      <c r="AA46" s="24">
        <f>$C$46/$C$52*AA$52</f>
        <v>0</v>
      </c>
      <c r="AB46" s="27" t="e">
        <f t="shared" si="141"/>
        <v>#DIV/0!</v>
      </c>
      <c r="AC46" s="33">
        <f>AA46</f>
        <v>0</v>
      </c>
      <c r="AD46" s="25" t="e">
        <f>AC46/$AA$52*1000</f>
        <v>#DIV/0!</v>
      </c>
      <c r="AE46" s="25"/>
      <c r="AF46" s="39"/>
    </row>
    <row r="47" spans="1:32" s="14" customFormat="1" ht="22.5" customHeight="1" x14ac:dyDescent="0.3">
      <c r="A47" s="61" t="s">
        <v>63</v>
      </c>
      <c r="B47" s="62" t="s">
        <v>35</v>
      </c>
      <c r="C47" s="29">
        <f t="shared" si="2"/>
        <v>764.72011329750001</v>
      </c>
      <c r="D47" s="27">
        <f t="shared" si="130"/>
        <v>118.37510366599041</v>
      </c>
      <c r="E47" s="33">
        <f t="shared" si="3"/>
        <v>764.72011329750001</v>
      </c>
      <c r="F47" s="25">
        <f t="shared" si="131"/>
        <v>118.37510366599041</v>
      </c>
      <c r="G47" s="25"/>
      <c r="H47" s="41"/>
      <c r="I47" s="29">
        <f>207.056227608241-I46</f>
        <v>170.83131005099492</v>
      </c>
      <c r="J47" s="27">
        <f t="shared" si="134"/>
        <v>82.842020918968984</v>
      </c>
      <c r="K47" s="33">
        <f>I47</f>
        <v>170.83131005099492</v>
      </c>
      <c r="L47" s="25">
        <f>J47</f>
        <v>82.842020918968984</v>
      </c>
      <c r="M47" s="25">
        <f t="shared" si="135"/>
        <v>0</v>
      </c>
      <c r="N47" s="41"/>
      <c r="O47" s="29">
        <f>544.509647511775-O46</f>
        <v>481.38488425529147</v>
      </c>
      <c r="P47" s="27">
        <f t="shared" si="145"/>
        <v>133.96251921394821</v>
      </c>
      <c r="Q47" s="33">
        <f>O47</f>
        <v>481.38488425529147</v>
      </c>
      <c r="R47" s="25">
        <f>P47</f>
        <v>133.96251921394821</v>
      </c>
      <c r="S47" s="25">
        <f t="shared" si="121"/>
        <v>0</v>
      </c>
      <c r="T47" s="41"/>
      <c r="U47" s="29">
        <f>126.637748177484-U46</f>
        <v>112.50391899121364</v>
      </c>
      <c r="V47" s="27">
        <f t="shared" si="133"/>
        <v>139.82937998588156</v>
      </c>
      <c r="W47" s="33">
        <f>U47</f>
        <v>112.50391899121364</v>
      </c>
      <c r="X47" s="25">
        <f t="shared" si="138"/>
        <v>139.82937998588156</v>
      </c>
      <c r="Y47" s="25">
        <f t="shared" si="139"/>
        <v>0</v>
      </c>
      <c r="Z47" s="41"/>
      <c r="AA47" s="29">
        <v>0</v>
      </c>
      <c r="AB47" s="27" t="e">
        <f t="shared" si="141"/>
        <v>#DIV/0!</v>
      </c>
      <c r="AC47" s="33">
        <f>AA47</f>
        <v>0</v>
      </c>
      <c r="AD47" s="33" t="e">
        <f>AB47</f>
        <v>#DIV/0!</v>
      </c>
      <c r="AE47" s="25"/>
      <c r="AF47" s="43"/>
    </row>
    <row r="48" spans="1:32" s="14" customFormat="1" ht="22.5" customHeight="1" x14ac:dyDescent="0.3">
      <c r="A48" s="59">
        <v>8</v>
      </c>
      <c r="B48" s="69" t="s">
        <v>86</v>
      </c>
      <c r="C48" s="29">
        <f t="shared" ref="C48" si="147">I48+O48+U48+AA48</f>
        <v>0</v>
      </c>
      <c r="D48" s="27">
        <f t="shared" ref="D48" si="148">C48/$C$52*1000</f>
        <v>0</v>
      </c>
      <c r="E48" s="33">
        <f t="shared" ref="E48" si="149">K48+Q48+W48+AC48</f>
        <v>0</v>
      </c>
      <c r="F48" s="25">
        <f t="shared" ref="F48" si="150">E48/$C$52*1000</f>
        <v>0</v>
      </c>
      <c r="G48" s="25"/>
      <c r="H48" s="41"/>
      <c r="I48" s="24">
        <v>0</v>
      </c>
      <c r="J48" s="27">
        <f t="shared" si="134"/>
        <v>0</v>
      </c>
      <c r="K48" s="33">
        <f>I48</f>
        <v>0</v>
      </c>
      <c r="L48" s="25">
        <f>J48</f>
        <v>0</v>
      </c>
      <c r="M48" s="25">
        <f t="shared" ref="M48" si="151">K48-I48</f>
        <v>0</v>
      </c>
      <c r="N48" s="41"/>
      <c r="O48" s="24">
        <v>0</v>
      </c>
      <c r="P48" s="27">
        <f t="shared" si="145"/>
        <v>0</v>
      </c>
      <c r="Q48" s="33">
        <f>O48</f>
        <v>0</v>
      </c>
      <c r="R48" s="25">
        <f>P48</f>
        <v>0</v>
      </c>
      <c r="S48" s="25">
        <f t="shared" ref="S48" si="152">Q48-O48</f>
        <v>0</v>
      </c>
      <c r="T48" s="41"/>
      <c r="U48" s="29">
        <v>0</v>
      </c>
      <c r="V48" s="27">
        <f t="shared" si="133"/>
        <v>0</v>
      </c>
      <c r="W48" s="33">
        <f>U48</f>
        <v>0</v>
      </c>
      <c r="X48" s="25">
        <f t="shared" ref="X48" si="153">W48/$U$52*1000</f>
        <v>0</v>
      </c>
      <c r="Y48" s="25">
        <f t="shared" ref="Y48" si="154">W48-U48</f>
        <v>0</v>
      </c>
      <c r="Z48" s="41"/>
      <c r="AA48" s="29">
        <v>0</v>
      </c>
      <c r="AB48" s="27" t="e">
        <f t="shared" si="141"/>
        <v>#DIV/0!</v>
      </c>
      <c r="AC48" s="33">
        <f>AA48</f>
        <v>0</v>
      </c>
      <c r="AD48" s="33" t="e">
        <f>AB48</f>
        <v>#DIV/0!</v>
      </c>
      <c r="AE48" s="25"/>
      <c r="AF48" s="43"/>
    </row>
    <row r="49" spans="1:32" s="14" customFormat="1" ht="22.5" customHeight="1" x14ac:dyDescent="0.3">
      <c r="A49" s="59">
        <v>9</v>
      </c>
      <c r="B49" s="69" t="s">
        <v>36</v>
      </c>
      <c r="C49" s="29">
        <f t="shared" si="2"/>
        <v>18493.338774933134</v>
      </c>
      <c r="D49" s="27">
        <f t="shared" si="130"/>
        <v>2862.682511609763</v>
      </c>
      <c r="E49" s="33">
        <f t="shared" si="3"/>
        <v>18491.897268836641</v>
      </c>
      <c r="F49" s="25">
        <f t="shared" si="131"/>
        <v>2862.4593731952759</v>
      </c>
      <c r="G49" s="25">
        <f t="shared" si="4"/>
        <v>-1.441506096492958</v>
      </c>
      <c r="H49" s="70">
        <f t="shared" si="118"/>
        <v>-7.7947314654012228E-3</v>
      </c>
      <c r="I49" s="29">
        <f>I40+I42+I41+I48</f>
        <v>4105.6754022501309</v>
      </c>
      <c r="J49" s="27">
        <f>ROUND(J40+J42+J41+J48,2)</f>
        <v>1990.98</v>
      </c>
      <c r="K49" s="33">
        <f>K40+K42+K41+K48</f>
        <v>4105.2152610410367</v>
      </c>
      <c r="L49" s="25">
        <f>ROUNDUP(L40+L42+L41+L48,2)</f>
        <v>1855.11</v>
      </c>
      <c r="M49" s="25">
        <f t="shared" ref="M49" si="155">K49-I49</f>
        <v>-0.46014120909421763</v>
      </c>
      <c r="N49" s="26">
        <f t="shared" ref="N49" si="156">M49/I49*100</f>
        <v>-1.1207442479306462E-2</v>
      </c>
      <c r="O49" s="29">
        <f>O40+O42+O41+O48</f>
        <v>11703.927982912019</v>
      </c>
      <c r="P49" s="27">
        <f>P40+P42+P41+P48</f>
        <v>3257.035541768329</v>
      </c>
      <c r="Q49" s="33">
        <f>Q40+Q41+Q42+Q48</f>
        <v>11703.126150724473</v>
      </c>
      <c r="R49" s="25">
        <f>R40+R41+R42+R48</f>
        <v>3123.8645396154934</v>
      </c>
      <c r="S49" s="25">
        <f t="shared" ref="S49" si="157">Q49-O49</f>
        <v>-0.80183218754609697</v>
      </c>
      <c r="T49" s="26">
        <f t="shared" ref="T49" si="158">S49/O49*100</f>
        <v>-6.8509665192471175E-3</v>
      </c>
      <c r="U49" s="29">
        <f>U40+U42+U41+U48</f>
        <v>2683.7353897709836</v>
      </c>
      <c r="V49" s="27">
        <f>ROUNDDOWN(V40+V42+V41+V48,2)</f>
        <v>3335.57</v>
      </c>
      <c r="W49" s="33">
        <f>W40+W41+W42+W48</f>
        <v>2683.5558570711332</v>
      </c>
      <c r="X49" s="25">
        <f>ROUNDDOWN(X40+X42+X41+X48,2)</f>
        <v>3199.71</v>
      </c>
      <c r="Y49" s="25">
        <f t="shared" ref="Y49" si="159">W49-U49</f>
        <v>-0.17953269985036968</v>
      </c>
      <c r="Z49" s="26">
        <f t="shared" ref="Z49" si="160">Y49/U49*100</f>
        <v>-6.6896572789797316E-3</v>
      </c>
      <c r="AA49" s="29">
        <f>AA40+AA42+AA41+AA48</f>
        <v>0</v>
      </c>
      <c r="AB49" s="27" t="e">
        <f>AB40+AB42+AB48</f>
        <v>#DIV/0!</v>
      </c>
      <c r="AC49" s="33">
        <f>AC40+AC41+AC42+AC48</f>
        <v>0</v>
      </c>
      <c r="AD49" s="25" t="e">
        <f>AD40+AD42+AD48</f>
        <v>#DIV/0!</v>
      </c>
      <c r="AE49" s="25">
        <f t="shared" ref="AE49" si="161">AC49-AA49</f>
        <v>0</v>
      </c>
      <c r="AF49" s="39" t="e">
        <f t="shared" ref="AF49" si="162">AE49/AA49*100</f>
        <v>#DIV/0!</v>
      </c>
    </row>
    <row r="50" spans="1:32" s="14" customFormat="1" ht="22.5" customHeight="1" thickBot="1" x14ac:dyDescent="0.35">
      <c r="A50" s="71">
        <v>10</v>
      </c>
      <c r="B50" s="72" t="s">
        <v>37</v>
      </c>
      <c r="C50" s="37">
        <f>D49</f>
        <v>2862.682511609763</v>
      </c>
      <c r="D50" s="38"/>
      <c r="E50" s="34">
        <f>F49</f>
        <v>2862.4593731952759</v>
      </c>
      <c r="F50" s="35"/>
      <c r="G50" s="35"/>
      <c r="H50" s="36"/>
      <c r="I50" s="37">
        <f>ROUND(I49/I52*1000,2)</f>
        <v>1990.98</v>
      </c>
      <c r="J50" s="38"/>
      <c r="K50" s="34">
        <f>ROUNDUP(K49/K52*1000,2)</f>
        <v>1990.77</v>
      </c>
      <c r="L50" s="35"/>
      <c r="M50" s="35"/>
      <c r="N50" s="36"/>
      <c r="O50" s="37">
        <f>O49/O52*1000</f>
        <v>3257.035541768329</v>
      </c>
      <c r="P50" s="38"/>
      <c r="Q50" s="34">
        <f>Q49/Q52*1000</f>
        <v>3256.8124033538425</v>
      </c>
      <c r="R50" s="35"/>
      <c r="S50" s="35"/>
      <c r="T50" s="36"/>
      <c r="U50" s="37">
        <f>ROUNDDOWN(U49/U52*1000,2)</f>
        <v>3335.57</v>
      </c>
      <c r="V50" s="38"/>
      <c r="W50" s="34">
        <f>ROUNDDOWN(W49/W52*1000,2)</f>
        <v>3335.35</v>
      </c>
      <c r="X50" s="35"/>
      <c r="Y50" s="35"/>
      <c r="Z50" s="36"/>
      <c r="AA50" s="37" t="e">
        <f>AA49/AA52*1000</f>
        <v>#DIV/0!</v>
      </c>
      <c r="AB50" s="38"/>
      <c r="AC50" s="34" t="e">
        <f>AC49/AC52*1000</f>
        <v>#DIV/0!</v>
      </c>
      <c r="AD50" s="35"/>
      <c r="AE50" s="35"/>
      <c r="AF50" s="38"/>
    </row>
    <row r="51" spans="1:32" x14ac:dyDescent="0.3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2" x14ac:dyDescent="0.3">
      <c r="A52" s="75"/>
      <c r="B52" s="74" t="s">
        <v>78</v>
      </c>
      <c r="C52" s="76">
        <f>E52</f>
        <v>6460.1431349555542</v>
      </c>
      <c r="D52" s="74"/>
      <c r="E52" s="76">
        <f>K52+Q52+W52+AC52</f>
        <v>6460.1431349555542</v>
      </c>
      <c r="F52" s="74"/>
      <c r="G52" s="76"/>
      <c r="H52" s="74"/>
      <c r="I52" s="76">
        <v>2062.1335423249957</v>
      </c>
      <c r="J52" s="74"/>
      <c r="K52" s="76">
        <f>I52</f>
        <v>2062.1335423249957</v>
      </c>
      <c r="L52" s="74"/>
      <c r="M52" s="74"/>
      <c r="N52" s="74"/>
      <c r="O52" s="76">
        <v>3593.4296180746169</v>
      </c>
      <c r="P52" s="74"/>
      <c r="Q52" s="76">
        <f>O52</f>
        <v>3593.4296180746169</v>
      </c>
      <c r="R52" s="74"/>
      <c r="S52" s="74"/>
      <c r="T52" s="74"/>
      <c r="U52" s="76">
        <v>804.57997455594148</v>
      </c>
      <c r="V52" s="74"/>
      <c r="W52" s="74">
        <f>U52</f>
        <v>804.57997455594148</v>
      </c>
      <c r="X52" s="74"/>
      <c r="Y52" s="74"/>
      <c r="Z52" s="74"/>
      <c r="AA52" s="76"/>
      <c r="AB52" s="76"/>
      <c r="AC52" s="76">
        <f>AA52</f>
        <v>0</v>
      </c>
      <c r="AD52" s="74"/>
      <c r="AE52" s="74"/>
      <c r="AF52" s="74"/>
    </row>
    <row r="53" spans="1:32" x14ac:dyDescent="0.3">
      <c r="C53" s="7"/>
      <c r="D53" s="22"/>
    </row>
    <row r="54" spans="1:32" ht="36.75" hidden="1" customHeight="1" x14ac:dyDescent="0.3">
      <c r="A54" s="77" t="str">
        <f>"* - економія відбулася за рахунок  зниження витрат по статтям ''паливо'' - на "&amp;ROUND(C12-E12,2)&amp;" тис.грн., ''електроенергія'' - на "&amp;ROUND(C13-E13,2)&amp;" тис.грн.,  ''прямі витрати на оплату праці з відрахуваннями на соціальні заходи'' - на "&amp;ROUND(C18-E18,2)&amp;" тис.грн. Зростання відбулося за рахунок збільшення витрат по статті ''амортизаційні відрахування'' на "&amp;ROUND(E21-C21,2)&amp;" тис.грн."</f>
        <v>* - економія відбулася за рахунок  зниження витрат по статтям ''паливо'' - на 1,44 тис.грн., ''електроенергія'' - на 0 тис.грн.,  ''прямі витрати на оплату праці з відрахуваннями на соціальні заходи'' - на 0 тис.грн. Зростання відбулося за рахунок збільшення витрат по статті ''амортизаційні відрахування'' на 0 тис.грн.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</row>
    <row r="55" spans="1:32" ht="36.75" hidden="1" customHeight="1" x14ac:dyDescent="0.3">
      <c r="A55" s="78" t="s">
        <v>96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1:32" x14ac:dyDescent="0.3">
      <c r="C56" s="7">
        <f>C50-E50</f>
        <v>0.22313841448703897</v>
      </c>
      <c r="D56" s="7">
        <f>100*C56/E50</f>
        <v>7.7953390911521085E-3</v>
      </c>
    </row>
    <row r="57" spans="1:32" x14ac:dyDescent="0.3">
      <c r="G57" s="23"/>
    </row>
    <row r="58" spans="1:32" x14ac:dyDescent="0.3">
      <c r="E58" s="7"/>
    </row>
    <row r="59" spans="1:32" x14ac:dyDescent="0.3">
      <c r="E59" s="7"/>
    </row>
    <row r="60" spans="1:32" x14ac:dyDescent="0.3">
      <c r="G60" s="23"/>
    </row>
  </sheetData>
  <mergeCells count="15">
    <mergeCell ref="A54:AF54"/>
    <mergeCell ref="A55:AF55"/>
    <mergeCell ref="A2:AF3"/>
    <mergeCell ref="AA7:AB7"/>
    <mergeCell ref="AC7:AD7"/>
    <mergeCell ref="A7:A8"/>
    <mergeCell ref="E7:F7"/>
    <mergeCell ref="K7:L7"/>
    <mergeCell ref="Q7:R7"/>
    <mergeCell ref="W7:X7"/>
    <mergeCell ref="C7:D7"/>
    <mergeCell ref="I7:J7"/>
    <mergeCell ref="O7:P7"/>
    <mergeCell ref="U7:V7"/>
    <mergeCell ref="B7:B8"/>
  </mergeCells>
  <phoneticPr fontId="0" type="noConversion"/>
  <pageMargins left="0.25" right="0.25" top="0.75" bottom="0.75" header="0.3" footer="0.3"/>
  <pageSetup paperSize="9" scale="45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J4"/>
  <sheetViews>
    <sheetView workbookViewId="0">
      <selection activeCell="I4" sqref="I4"/>
    </sheetView>
  </sheetViews>
  <sheetFormatPr defaultRowHeight="14.4" x14ac:dyDescent="0.3"/>
  <cols>
    <col min="8" max="8" width="5.33203125" customWidth="1"/>
  </cols>
  <sheetData>
    <row r="1" spans="1:10" ht="18" x14ac:dyDescent="0.35">
      <c r="A1" s="30" t="s">
        <v>97</v>
      </c>
      <c r="B1" s="31"/>
      <c r="C1" s="31"/>
      <c r="D1" s="31"/>
      <c r="E1" s="31"/>
      <c r="F1" s="31"/>
      <c r="G1" s="31"/>
      <c r="H1" s="31"/>
    </row>
    <row r="3" spans="1:10" ht="32.25" customHeight="1" x14ac:dyDescent="0.3">
      <c r="A3" s="92" t="s">
        <v>87</v>
      </c>
      <c r="B3" s="93"/>
      <c r="C3" s="93"/>
      <c r="D3" s="93"/>
      <c r="E3" s="93"/>
      <c r="F3" s="93"/>
      <c r="G3" s="93"/>
      <c r="H3" s="93"/>
      <c r="I3" s="32">
        <f>Лист1!C50-Лист1!E50</f>
        <v>0.22313841448703897</v>
      </c>
      <c r="J3" t="s">
        <v>9</v>
      </c>
    </row>
    <row r="4" spans="1:10" x14ac:dyDescent="0.3">
      <c r="H4" t="s">
        <v>88</v>
      </c>
      <c r="I4" s="49">
        <f>Лист1!H49*-1</f>
        <v>7.7947314654012228E-3</v>
      </c>
      <c r="J4" t="s">
        <v>64</v>
      </c>
    </row>
  </sheetData>
  <mergeCells count="1">
    <mergeCell ref="A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Лист1</vt:lpstr>
      <vt:lpstr>Додаток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2014-02-10T06:16:48Z</cp:lastPrinted>
  <dcterms:created xsi:type="dcterms:W3CDTF">2006-09-16T00:00:00Z</dcterms:created>
  <dcterms:modified xsi:type="dcterms:W3CDTF">2021-10-05T16:22:19Z</dcterms:modified>
</cp:coreProperties>
</file>