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<sst xmlns="http://schemas.openxmlformats.org/spreadsheetml/2006/main" count="174" uniqueCount="154">
  <si>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</si>
  <si>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</si>
  <si>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</si>
  <si>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</si>
  <si>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</si>
  <si>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</si>
  <si>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</si>
  <si>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</si>
  <si>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</si>
  <si>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</si>
  <si>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</si>
  <si>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</si>
  <si>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</si>
  <si>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</si>
  <si>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</si>
  <si>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</si>
  <si>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</si>
  <si>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</si>
  <si>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</si>
  <si>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</si>
  <si>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</si>
  <si>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</si>
  <si>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</si>
  <si>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</si>
  <si>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</si>
  <si>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</si>
  <si>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</si>
  <si>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</si>
  <si>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</si>
  <si>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</si>
  <si>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</si>
  <si>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</si>
  <si>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</si>
  <si>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</si>
  <si>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</si>
  <si>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</si>
  <si>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</si>
  <si>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</si>
  <si>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</si>
  <si>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</si>
  <si>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</si>
  <si>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</si>
  <si>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</si>
  <si>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</si>
  <si>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</si>
  <si>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</si>
  <si>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</si>
  <si>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</si>
  <si>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</si>
  <si>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</si>
  <si>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</si>
  <si>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</si>
  <si>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</si>
  <si>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</si>
  <si>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</si>
  <si>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</si>
  <si>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</si>
  <si>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</si>
  <si>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</si>
  <si>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</si>
  <si>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</si>
  <si>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</si>
  <si>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</si>
  <si>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</si>
  <si>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</si>
  <si>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</si>
  <si>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</si>
  <si>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</si>
  <si>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</si>
  <si>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</si>
  <si>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</si>
  <si>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</si>
  <si>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</si>
  <si>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</si>
  <si>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</si>
  <si>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</si>
  <si>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</si>
  <si>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</si>
  <si>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</si>
  <si>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</si>
  <si>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</si>
  <si>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</si>
  <si>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</si>
  <si>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</si>
  <si>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</si>
  <si>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</si>
  <si>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</si>
  <si>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</si>
  <si>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</si>
  <si>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</si>
  <si>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</si>
  <si>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</si>
  <si>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</si>
  <si>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</si>
  <si>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</si>
  <si>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</si>
  <si>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</si>
  <si>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</si>
  <si>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</si>
  <si>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</si>
  <si>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</si>
  <si>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</si>
  <si>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</si>
  <si>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</si>
  <si>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</si>
  <si>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</si>
  <si>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</si>
  <si>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</si>
  <si>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</si>
  <si>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</si>
  <si>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</si>
  <si>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</si>
  <si>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</si>
  <si>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</si>
  <si>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</si>
  <si>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</si>
  <si>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</si>
  <si>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</si>
  <si>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</si>
  <si>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</si>
  <si>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</si>
  <si>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</si>
  <si>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</si>
  <si>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</si>
  <si>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</si>
  <si>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</si>
  <si>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</si>
  <si>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</si>
  <si>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</si>
  <si>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</si>
  <si>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</si>
  <si>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</si>
  <si>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</si>
  <si>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</si>
  <si>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</si>
  <si>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</si>
  <si>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</si>
  <si>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</si>
  <si>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</si>
  <si>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</si>
  <si>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</si>
  <si>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</si>
  <si>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</si>
  <si>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</si>
  <si>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</si>
  <si>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</si>
  <si>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</si>
  <si>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</si>
  <si>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Виконання інвестиційних проектів в рамках формування інфраструктури об'єднаних ттериторіальних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</si>
  <si>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розвиттку</t>
  </si>
  <si>
    <t xml:space="preserve">                                                  Звіт про виконання бюджету Менської ОТГ за 2018 рік</t>
  </si>
  <si>
    <t>касові видатки за 2018 рік</t>
  </si>
  <si>
    <t>Забезпечення діяльності бібліотек</t>
  </si>
  <si>
    <t xml:space="preserve">Додаток №2 до проекту рішення двадцять сьомої сесії сьомого скликання Менської міської ради від 22.02.2019 року
«Про виконання бюджету Менської міської об’єднаної територіальної громади за 2018 рік
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</si>
</sst>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8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8" fillId="0" borderId="11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8" fillId="0" borderId="11" xfId="53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53" applyFont="1" applyFill="1" applyBorder="1" applyAlignment="1" quotePrefix="1">
      <alignment horizontal="center" vertical="center" wrapText="1"/>
      <protection/>
    </xf>
    <xf numFmtId="2" fontId="49" fillId="0" borderId="11" xfId="5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18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49" fillId="0" borderId="11" xfId="53" applyNumberFormat="1" applyFont="1" applyFill="1" applyBorder="1" applyAlignment="1" quotePrefix="1">
      <alignment vertical="center" wrapText="1"/>
      <protection/>
    </xf>
    <xf numFmtId="0" fontId="49" fillId="0" borderId="11" xfId="53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8" fillId="0" borderId="18" xfId="53" applyNumberFormat="1" applyFont="1" applyFill="1" applyBorder="1" applyAlignment="1" quotePrefix="1">
      <alignment vertical="center" wrapText="1"/>
      <protection/>
    </xf>
    <xf numFmtId="0" fontId="48" fillId="0" borderId="18" xfId="53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49" fillId="0" borderId="11" xfId="53" applyNumberFormat="1" applyFont="1" applyFill="1" applyBorder="1" applyAlignment="1" quotePrefix="1">
      <alignment horizontal="center" vertical="center" wrapText="1"/>
      <protection/>
    </xf>
    <xf numFmtId="2" fontId="48" fillId="0" borderId="16" xfId="5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8" fillId="0" borderId="11" xfId="53" applyNumberFormat="1" applyFont="1" applyFill="1" applyBorder="1" applyAlignment="1" quotePrefix="1">
      <alignment horizontal="center" vertical="center" wrapText="1"/>
      <protection/>
    </xf>
    <xf numFmtId="2" fontId="1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zoomScale="66" zoomScaleNormal="66" zoomScalePageLayoutView="0" workbookViewId="0" topLeftCell="D1">
      <pane ySplit="9" topLeftCell="A10" activePane="bottomLeft" state="frozen"/>
      <selection pane="topLeft" activeCell="A1" sqref="A1"/>
      <selection pane="bottomLeft" activeCell="A4" sqref="A4:U4"/>
    </sheetView>
  </sheetViews>
  <sheetFormatPr defaultColWidth="9.00390625" defaultRowHeight="12.75"/>
  <cols>
    <col min="1" max="1" width="50.75390625" style="28" customWidth="1"/>
    <col min="2" max="2" width="10.75390625" style="29" customWidth="1"/>
    <col min="3" max="3" width="15.625" style="28" customWidth="1"/>
    <col min="4" max="4" width="17.875" style="28" bestFit="1" customWidth="1"/>
    <col min="5" max="5" width="14.875" style="28" bestFit="1" customWidth="1"/>
    <col min="6" max="6" width="16.375" style="28" customWidth="1"/>
    <col min="7" max="9" width="14.125" style="28" customWidth="1"/>
    <col min="10" max="10" width="13.875" style="28" customWidth="1"/>
    <col min="11" max="16" width="14.00390625" style="11" customWidth="1"/>
    <col min="17" max="18" width="13.375" style="28" customWidth="1"/>
    <col min="19" max="19" width="16.75390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53" t="s">
        <v>153</v>
      </c>
      <c r="T1" s="54"/>
      <c r="U1" s="54"/>
      <c r="V1" s="54"/>
    </row>
    <row r="2" spans="19:22" ht="12.75">
      <c r="S2" s="54"/>
      <c r="T2" s="54"/>
      <c r="U2" s="54"/>
      <c r="V2" s="54"/>
    </row>
    <row r="3" spans="19:22" ht="56.25" customHeight="1">
      <c r="S3" s="54"/>
      <c r="T3" s="54"/>
      <c r="U3" s="54"/>
      <c r="V3" s="54"/>
    </row>
    <row r="4" spans="1:22" s="11" customFormat="1" ht="29.25" customHeight="1">
      <c r="A4" s="55" t="s">
        <v>150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</row>
    <row r="5" spans="1:22" s="11" customFormat="1" ht="15.75">
      <c r="A5" s="59"/>
      <c r="B5" s="59"/>
      <c r="C5" s="59"/>
      <c r="D5" s="59"/>
      <c r="E5" s="59"/>
      <c r="F5" s="59"/>
      <c r="G5" s="59"/>
      <c r="H5" s="5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6.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77" t="s">
        <v>9</v>
      </c>
      <c r="B7" s="56" t="s">
        <v>0</v>
      </c>
      <c r="C7" s="72" t="s">
        <v>2</v>
      </c>
      <c r="D7" s="73"/>
      <c r="E7" s="73"/>
      <c r="F7" s="73"/>
      <c r="G7" s="73"/>
      <c r="H7" s="73"/>
      <c r="I7" s="74"/>
      <c r="J7" s="65" t="s">
        <v>4</v>
      </c>
      <c r="K7" s="66"/>
      <c r="L7" s="66"/>
      <c r="M7" s="66"/>
      <c r="N7" s="66"/>
      <c r="O7" s="66"/>
      <c r="P7" s="66"/>
      <c r="Q7" s="66"/>
      <c r="R7" s="67"/>
      <c r="S7" s="78" t="s">
        <v>5</v>
      </c>
      <c r="T7" s="78"/>
      <c r="U7" s="78"/>
      <c r="V7" s="79"/>
    </row>
    <row r="8" spans="1:22" s="11" customFormat="1" ht="12.75" customHeight="1">
      <c r="A8" s="61"/>
      <c r="B8" s="57"/>
      <c r="C8" s="60" t="s">
        <v>1</v>
      </c>
      <c r="D8" s="60"/>
      <c r="E8" s="70" t="s">
        <v>134</v>
      </c>
      <c r="F8" s="63" t="s">
        <v>135</v>
      </c>
      <c r="G8" s="68" t="s">
        <v>136</v>
      </c>
      <c r="H8" s="69"/>
      <c r="I8" s="61" t="s">
        <v>3</v>
      </c>
      <c r="J8" s="60" t="s">
        <v>1</v>
      </c>
      <c r="K8" s="60"/>
      <c r="L8" s="63" t="s">
        <v>134</v>
      </c>
      <c r="M8" s="63" t="s">
        <v>135</v>
      </c>
      <c r="N8" s="75" t="s">
        <v>136</v>
      </c>
      <c r="O8" s="76"/>
      <c r="P8" s="63" t="s">
        <v>137</v>
      </c>
      <c r="Q8" s="9" t="s">
        <v>136</v>
      </c>
      <c r="R8" s="63" t="s">
        <v>141</v>
      </c>
      <c r="S8" s="75" t="s">
        <v>1</v>
      </c>
      <c r="T8" s="76"/>
      <c r="U8" s="63" t="s">
        <v>151</v>
      </c>
      <c r="V8" s="80" t="s">
        <v>142</v>
      </c>
    </row>
    <row r="9" spans="1:22" s="12" customFormat="1" ht="66" customHeight="1" thickBot="1">
      <c r="A9" s="62"/>
      <c r="B9" s="58"/>
      <c r="C9" s="10" t="s">
        <v>8</v>
      </c>
      <c r="D9" s="10" t="s">
        <v>17</v>
      </c>
      <c r="E9" s="71"/>
      <c r="F9" s="64"/>
      <c r="G9" s="10" t="s">
        <v>138</v>
      </c>
      <c r="H9" s="10" t="s">
        <v>139</v>
      </c>
      <c r="I9" s="62"/>
      <c r="J9" s="10" t="s">
        <v>8</v>
      </c>
      <c r="K9" s="10" t="s">
        <v>17</v>
      </c>
      <c r="L9" s="64"/>
      <c r="M9" s="64"/>
      <c r="N9" s="10" t="s">
        <v>138</v>
      </c>
      <c r="O9" s="10" t="s">
        <v>139</v>
      </c>
      <c r="P9" s="64"/>
      <c r="Q9" s="9" t="s">
        <v>140</v>
      </c>
      <c r="R9" s="64"/>
      <c r="S9" s="10" t="s">
        <v>8</v>
      </c>
      <c r="T9" s="10" t="s">
        <v>17</v>
      </c>
      <c r="U9" s="64"/>
      <c r="V9" s="81"/>
    </row>
    <row r="10" spans="1:22" s="12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9.5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9.5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4.25">
      <c r="A13" s="13" t="s">
        <v>20</v>
      </c>
      <c r="B13" s="14" t="s">
        <v>131</v>
      </c>
      <c r="C13" s="15">
        <f>C14</f>
        <v>28763601.990000002</v>
      </c>
      <c r="D13" s="15">
        <f aca="true" t="shared" si="0" ref="D13:Q13">D14</f>
        <v>28763601.990000002</v>
      </c>
      <c r="E13" s="15">
        <f>E14</f>
        <v>28046390.580000002</v>
      </c>
      <c r="F13" s="15">
        <f>E13</f>
        <v>28046390.580000002</v>
      </c>
      <c r="G13" s="15">
        <f t="shared" si="0"/>
        <v>16100649.890000002</v>
      </c>
      <c r="H13" s="15">
        <f t="shared" si="0"/>
        <v>1487525.23</v>
      </c>
      <c r="I13" s="16">
        <f aca="true" t="shared" si="1" ref="I13:I83">E13/D13*100</f>
        <v>97.50653130908519</v>
      </c>
      <c r="J13" s="15">
        <f t="shared" si="0"/>
        <v>29523537.76</v>
      </c>
      <c r="K13" s="15">
        <f t="shared" si="0"/>
        <v>29523537.76</v>
      </c>
      <c r="L13" s="15">
        <f t="shared" si="0"/>
        <v>26828482.6</v>
      </c>
      <c r="M13" s="15">
        <f t="shared" si="0"/>
        <v>2448137.9299999997</v>
      </c>
      <c r="N13" s="15">
        <f t="shared" si="0"/>
        <v>325940.54000000004</v>
      </c>
      <c r="O13" s="15">
        <f t="shared" si="0"/>
        <v>60054.1</v>
      </c>
      <c r="P13" s="15">
        <f t="shared" si="0"/>
        <v>24380344.67</v>
      </c>
      <c r="Q13" s="15">
        <f t="shared" si="0"/>
        <v>13900839.67</v>
      </c>
      <c r="R13" s="15">
        <f>L13/K13*100</f>
        <v>90.87150333436192</v>
      </c>
      <c r="S13" s="15">
        <f>C13+J13</f>
        <v>58287139.75</v>
      </c>
      <c r="T13" s="15">
        <f>D13+K13</f>
        <v>58287139.75</v>
      </c>
      <c r="U13" s="15">
        <f>E13+L13</f>
        <v>54874873.18000001</v>
      </c>
      <c r="V13" s="15">
        <f>U13/T13*100</f>
        <v>94.14576425497016</v>
      </c>
    </row>
    <row r="14" spans="1:22" s="21" customFormat="1" ht="90" customHeight="1">
      <c r="A14" s="17" t="s">
        <v>132</v>
      </c>
      <c r="B14" s="18" t="s">
        <v>133</v>
      </c>
      <c r="C14" s="15">
        <f>C15+C16+C17+C18+C20+C23+C25+C27+C29+C32+C33+C34+C37+C39+C42+C44+C46+C47+C48+C49</f>
        <v>28763601.990000002</v>
      </c>
      <c r="D14" s="15">
        <f>D15+D16+D17+D18+D20+D23+D25+D27+D29+D32+D33+D34+D37+D39+D42+D44+D46+D47+D48+D49</f>
        <v>28763601.990000002</v>
      </c>
      <c r="E14" s="15">
        <f>E15+E16+E17+E18+E20+E23+E25+E27+E29+E32+E33+E34+E37+E39+E42+E44+E46+E47+E48+E49</f>
        <v>28046390.580000002</v>
      </c>
      <c r="F14" s="15">
        <f aca="true" t="shared" si="2" ref="F14:F83">E14</f>
        <v>28046390.580000002</v>
      </c>
      <c r="G14" s="15">
        <f>G15+G16+G17+G18+G20+G23+G25+G27+G29+G32+G33+G34+G37+G39+G42+G44+G46+G47+G48+G49</f>
        <v>16100649.890000002</v>
      </c>
      <c r="H14" s="15">
        <f>H15+H16+H17+H18+H20+H23+H25+H27+H29+H32+H33+H34+H37+H39+H42+H44+H46+H47+H48+H49</f>
        <v>1487525.23</v>
      </c>
      <c r="I14" s="16">
        <f t="shared" si="1"/>
        <v>97.50653130908519</v>
      </c>
      <c r="J14" s="15">
        <f>J15+J16+J17+J18+J20+J23+J25+J27+J29+J32+J33+J34+J37+J39+J42+J44+J46+J47+J48+J49+J36+J38</f>
        <v>29523537.76</v>
      </c>
      <c r="K14" s="15">
        <f>K15+K16+K17+K18+K20+K23+K25+K27+K29+K32+K33+K34+K37+K39+K42+K44+K46+K47+K48+K49+K36+K38</f>
        <v>29523537.76</v>
      </c>
      <c r="L14" s="15">
        <f>L15+L16+L17+L18+L20+L23+L25+L27+L29+L32+L33+L34+L37+L39+L42+L44+L46+L47+L48+L49+L36+L38</f>
        <v>26828482.6</v>
      </c>
      <c r="M14" s="15">
        <f>L14-P14</f>
        <v>2448137.9299999997</v>
      </c>
      <c r="N14" s="15">
        <f>N15+N16+N17+N18+N20+N23+N25+N27+N29+N32+N33+N34+N37+N39+N42+N44+N46+N47+N48+N49</f>
        <v>325940.54000000004</v>
      </c>
      <c r="O14" s="15">
        <f>O15+O16+O17+O18+O20+O23+O25+O27+O29+O32+O33+O34+O37+O39+O42+O44+O46+O47+O48+O49</f>
        <v>60054.1</v>
      </c>
      <c r="P14" s="15">
        <f>P15+P16+P17+P18+P20+P23+P25+P27+P29+P32+P33+P34+P37+P39+P42+P44+P46+P47+P48+P49+P38+P36</f>
        <v>24380344.67</v>
      </c>
      <c r="Q14" s="15">
        <f>Q15+Q16+Q17+Q18+Q20+Q23+Q25+Q27+Q29+Q32+Q33+Q34+Q37+Q39+Q42+Q44+Q46+Q47+Q48+Q49+Q38+Q36</f>
        <v>13900839.67</v>
      </c>
      <c r="R14" s="15">
        <f aca="true" t="shared" si="3" ref="R14:R84">L14/K14*100</f>
        <v>90.87150333436192</v>
      </c>
      <c r="S14" s="15">
        <f aca="true" t="shared" si="4" ref="S14:S77">C14+J14</f>
        <v>58287139.75</v>
      </c>
      <c r="T14" s="15">
        <f aca="true" t="shared" si="5" ref="T14:T77">D14+K14</f>
        <v>58287139.75</v>
      </c>
      <c r="U14" s="15">
        <f aca="true" t="shared" si="6" ref="U14:U77">E14+L14</f>
        <v>54874873.18000001</v>
      </c>
      <c r="V14" s="15">
        <f aca="true" t="shared" si="7" ref="V14:V84">U14/T14*100</f>
        <v>94.14576425497016</v>
      </c>
    </row>
    <row r="15" spans="1:22" s="21" customFormat="1" ht="53.25" customHeight="1">
      <c r="A15" s="13" t="s">
        <v>10</v>
      </c>
      <c r="B15" s="14" t="s">
        <v>21</v>
      </c>
      <c r="C15" s="15">
        <v>10424401</v>
      </c>
      <c r="D15" s="15">
        <v>10424401</v>
      </c>
      <c r="E15" s="15">
        <v>10303692.38</v>
      </c>
      <c r="F15" s="15">
        <f t="shared" si="2"/>
        <v>10303692.38</v>
      </c>
      <c r="G15" s="15">
        <f>7415192.05+1576584.29</f>
        <v>8991776.34</v>
      </c>
      <c r="H15" s="15">
        <f>11928.97+1036.1+69407.79+232107.65+99000</f>
        <v>413480.51</v>
      </c>
      <c r="I15" s="16">
        <f>E15/D15*100</f>
        <v>98.84205701603383</v>
      </c>
      <c r="J15" s="15">
        <v>62363</v>
      </c>
      <c r="K15" s="31">
        <v>62363</v>
      </c>
      <c r="L15" s="15">
        <v>61320</v>
      </c>
      <c r="M15" s="15">
        <f aca="true" t="shared" si="8" ref="M15:M78">L15-P15</f>
        <v>931</v>
      </c>
      <c r="N15" s="15"/>
      <c r="O15" s="15"/>
      <c r="P15" s="15">
        <v>60389</v>
      </c>
      <c r="Q15" s="15">
        <v>60389</v>
      </c>
      <c r="R15" s="15">
        <f t="shared" si="3"/>
        <v>98.3275339544281</v>
      </c>
      <c r="S15" s="15">
        <f t="shared" si="4"/>
        <v>10486764</v>
      </c>
      <c r="T15" s="15">
        <f t="shared" si="5"/>
        <v>10486764</v>
      </c>
      <c r="U15" s="15">
        <f t="shared" si="6"/>
        <v>10365012.38</v>
      </c>
      <c r="V15" s="15">
        <f t="shared" si="7"/>
        <v>98.83899723499071</v>
      </c>
    </row>
    <row r="16" spans="1:22" s="21" customFormat="1" ht="46.5" customHeight="1">
      <c r="A16" s="17" t="s">
        <v>22</v>
      </c>
      <c r="B16" s="14" t="s">
        <v>23</v>
      </c>
      <c r="C16" s="15">
        <v>589760</v>
      </c>
      <c r="D16" s="15">
        <v>589760</v>
      </c>
      <c r="E16" s="15">
        <v>581071.55</v>
      </c>
      <c r="F16" s="15">
        <f t="shared" si="2"/>
        <v>581071.55</v>
      </c>
      <c r="G16" s="15">
        <f>429917.71+94797.19</f>
        <v>524714.9</v>
      </c>
      <c r="H16" s="15"/>
      <c r="I16" s="16">
        <f t="shared" si="1"/>
        <v>98.52678208084646</v>
      </c>
      <c r="J16" s="15">
        <v>20000</v>
      </c>
      <c r="K16" s="31">
        <v>20000</v>
      </c>
      <c r="L16" s="15">
        <v>13597</v>
      </c>
      <c r="M16" s="15">
        <f t="shared" si="8"/>
        <v>0</v>
      </c>
      <c r="N16" s="15"/>
      <c r="O16" s="15"/>
      <c r="P16" s="15">
        <v>13597</v>
      </c>
      <c r="Q16" s="15">
        <v>13597</v>
      </c>
      <c r="R16" s="15">
        <f t="shared" si="3"/>
        <v>67.985</v>
      </c>
      <c r="S16" s="15">
        <f t="shared" si="4"/>
        <v>609760</v>
      </c>
      <c r="T16" s="15">
        <f t="shared" si="5"/>
        <v>609760</v>
      </c>
      <c r="U16" s="15">
        <f t="shared" si="6"/>
        <v>594668.55</v>
      </c>
      <c r="V16" s="15">
        <f t="shared" si="7"/>
        <v>97.52501803988454</v>
      </c>
    </row>
    <row r="17" spans="1:22" s="21" customFormat="1" ht="16.5" customHeight="1">
      <c r="A17" s="17" t="s">
        <v>24</v>
      </c>
      <c r="B17" s="19" t="s">
        <v>53</v>
      </c>
      <c r="C17" s="15">
        <v>194065.8</v>
      </c>
      <c r="D17" s="15">
        <v>194065.8</v>
      </c>
      <c r="E17" s="15">
        <v>170449.76</v>
      </c>
      <c r="F17" s="15">
        <f t="shared" si="2"/>
        <v>170449.76</v>
      </c>
      <c r="G17" s="15"/>
      <c r="H17" s="15"/>
      <c r="I17" s="16">
        <f t="shared" si="1"/>
        <v>87.83091095906647</v>
      </c>
      <c r="J17" s="15">
        <v>12262411.07</v>
      </c>
      <c r="K17" s="16">
        <v>12262411.07</v>
      </c>
      <c r="L17" s="15">
        <v>11777262.61</v>
      </c>
      <c r="M17" s="15">
        <f t="shared" si="8"/>
        <v>1304257.6099999994</v>
      </c>
      <c r="N17" s="15">
        <f>142728.92+31400.36</f>
        <v>174129.28000000003</v>
      </c>
      <c r="O17" s="15"/>
      <c r="P17" s="15">
        <v>10473005</v>
      </c>
      <c r="Q17" s="15"/>
      <c r="R17" s="15">
        <f t="shared" si="3"/>
        <v>96.04361281618655</v>
      </c>
      <c r="S17" s="15">
        <f t="shared" si="4"/>
        <v>12456476.870000001</v>
      </c>
      <c r="T17" s="15">
        <f t="shared" si="5"/>
        <v>12456476.870000001</v>
      </c>
      <c r="U17" s="15">
        <f t="shared" si="6"/>
        <v>11947712.37</v>
      </c>
      <c r="V17" s="15">
        <f t="shared" si="7"/>
        <v>95.91566294940664</v>
      </c>
    </row>
    <row r="18" spans="1:22" s="21" customFormat="1" ht="71.25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2"/>
        <v>0</v>
      </c>
      <c r="G18" s="15">
        <f aca="true" t="shared" si="9" ref="G18:Q18">G19</f>
        <v>0</v>
      </c>
      <c r="H18" s="15">
        <f t="shared" si="9"/>
        <v>0</v>
      </c>
      <c r="I18" s="16" t="e">
        <f t="shared" si="1"/>
        <v>#DIV/0!</v>
      </c>
      <c r="J18" s="15">
        <f t="shared" si="9"/>
        <v>0</v>
      </c>
      <c r="K18" s="15">
        <f t="shared" si="9"/>
        <v>0</v>
      </c>
      <c r="L18" s="15">
        <f t="shared" si="9"/>
        <v>0</v>
      </c>
      <c r="M18" s="15">
        <f t="shared" si="8"/>
        <v>0</v>
      </c>
      <c r="N18" s="15">
        <f t="shared" si="9"/>
        <v>0</v>
      </c>
      <c r="O18" s="15">
        <f t="shared" si="9"/>
        <v>0</v>
      </c>
      <c r="P18" s="15">
        <f t="shared" si="9"/>
        <v>0</v>
      </c>
      <c r="Q18" s="15">
        <f t="shared" si="9"/>
        <v>0</v>
      </c>
      <c r="R18" s="15" t="e">
        <f t="shared" si="3"/>
        <v>#DIV/0!</v>
      </c>
      <c r="S18" s="15">
        <f t="shared" si="4"/>
        <v>0</v>
      </c>
      <c r="T18" s="15">
        <f t="shared" si="5"/>
        <v>0</v>
      </c>
      <c r="U18" s="15">
        <f t="shared" si="6"/>
        <v>0</v>
      </c>
      <c r="V18" s="15" t="e">
        <f t="shared" si="7"/>
        <v>#DIV/0!</v>
      </c>
    </row>
    <row r="19" spans="1:22" s="11" customFormat="1" ht="45">
      <c r="A19" s="38" t="s">
        <v>26</v>
      </c>
      <c r="B19" s="39" t="s">
        <v>55</v>
      </c>
      <c r="C19" s="20">
        <v>0</v>
      </c>
      <c r="D19" s="20">
        <v>0</v>
      </c>
      <c r="E19" s="15">
        <v>0</v>
      </c>
      <c r="F19" s="15">
        <f t="shared" si="2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8"/>
        <v>0</v>
      </c>
      <c r="N19" s="20"/>
      <c r="O19" s="20"/>
      <c r="P19" s="20"/>
      <c r="Q19" s="20"/>
      <c r="R19" s="15" t="e">
        <f t="shared" si="3"/>
        <v>#DIV/0!</v>
      </c>
      <c r="S19" s="15">
        <f t="shared" si="4"/>
        <v>0</v>
      </c>
      <c r="T19" s="15">
        <f t="shared" si="5"/>
        <v>0</v>
      </c>
      <c r="U19" s="15">
        <f t="shared" si="6"/>
        <v>0</v>
      </c>
      <c r="V19" s="15" t="e">
        <f t="shared" si="7"/>
        <v>#DIV/0!</v>
      </c>
    </row>
    <row r="20" spans="1:22" s="21" customFormat="1" ht="57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2"/>
        <v>0</v>
      </c>
      <c r="G20" s="15">
        <f aca="true" t="shared" si="10" ref="G20:Q20">G21+G22</f>
        <v>0</v>
      </c>
      <c r="H20" s="15">
        <f t="shared" si="10"/>
        <v>0</v>
      </c>
      <c r="I20" s="16" t="e">
        <f t="shared" si="1"/>
        <v>#DIV/0!</v>
      </c>
      <c r="J20" s="15">
        <f t="shared" si="10"/>
        <v>0</v>
      </c>
      <c r="K20" s="15">
        <f t="shared" si="10"/>
        <v>0</v>
      </c>
      <c r="L20" s="15">
        <v>0</v>
      </c>
      <c r="M20" s="15">
        <f t="shared" si="8"/>
        <v>0</v>
      </c>
      <c r="N20" s="15">
        <f t="shared" si="10"/>
        <v>0</v>
      </c>
      <c r="O20" s="15">
        <f t="shared" si="10"/>
        <v>0</v>
      </c>
      <c r="P20" s="15">
        <f t="shared" si="10"/>
        <v>0</v>
      </c>
      <c r="Q20" s="15">
        <f t="shared" si="10"/>
        <v>0</v>
      </c>
      <c r="R20" s="15" t="e">
        <f t="shared" si="3"/>
        <v>#DIV/0!</v>
      </c>
      <c r="S20" s="15">
        <f t="shared" si="4"/>
        <v>0</v>
      </c>
      <c r="T20" s="15">
        <f t="shared" si="5"/>
        <v>0</v>
      </c>
      <c r="U20" s="15">
        <f t="shared" si="6"/>
        <v>0</v>
      </c>
      <c r="V20" s="15" t="e">
        <f t="shared" si="7"/>
        <v>#DIV/0!</v>
      </c>
    </row>
    <row r="21" spans="1:22" s="11" customFormat="1" ht="30">
      <c r="A21" s="38" t="s">
        <v>28</v>
      </c>
      <c r="B21" s="39" t="s">
        <v>57</v>
      </c>
      <c r="C21" s="20">
        <v>0</v>
      </c>
      <c r="D21" s="20">
        <v>0</v>
      </c>
      <c r="E21" s="20">
        <v>0</v>
      </c>
      <c r="F21" s="20">
        <f t="shared" si="2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15">
        <f t="shared" si="8"/>
        <v>0</v>
      </c>
      <c r="N21" s="20"/>
      <c r="O21" s="20"/>
      <c r="P21" s="20"/>
      <c r="Q21" s="20"/>
      <c r="R21" s="20" t="e">
        <f t="shared" si="3"/>
        <v>#DIV/0!</v>
      </c>
      <c r="S21" s="15">
        <f t="shared" si="4"/>
        <v>0</v>
      </c>
      <c r="T21" s="15">
        <f t="shared" si="5"/>
        <v>0</v>
      </c>
      <c r="U21" s="15">
        <f t="shared" si="6"/>
        <v>0</v>
      </c>
      <c r="V21" s="20" t="e">
        <f t="shared" si="7"/>
        <v>#DIV/0!</v>
      </c>
    </row>
    <row r="22" spans="1:22" s="11" customFormat="1" ht="30">
      <c r="A22" s="38" t="s">
        <v>29</v>
      </c>
      <c r="B22" s="39" t="s">
        <v>58</v>
      </c>
      <c r="C22" s="20">
        <v>0</v>
      </c>
      <c r="D22" s="20">
        <v>0</v>
      </c>
      <c r="E22" s="20">
        <v>0</v>
      </c>
      <c r="F22" s="20">
        <f t="shared" si="2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15">
        <f t="shared" si="8"/>
        <v>0</v>
      </c>
      <c r="N22" s="20"/>
      <c r="O22" s="20"/>
      <c r="P22" s="20"/>
      <c r="Q22" s="20"/>
      <c r="R22" s="20" t="e">
        <f t="shared" si="3"/>
        <v>#DIV/0!</v>
      </c>
      <c r="S22" s="15">
        <f t="shared" si="4"/>
        <v>0</v>
      </c>
      <c r="T22" s="15">
        <f t="shared" si="5"/>
        <v>0</v>
      </c>
      <c r="U22" s="15">
        <f t="shared" si="6"/>
        <v>0</v>
      </c>
      <c r="V22" s="20" t="e">
        <f t="shared" si="7"/>
        <v>#DIV/0!</v>
      </c>
    </row>
    <row r="23" spans="1:22" s="21" customFormat="1" ht="57">
      <c r="A23" s="17" t="s">
        <v>30</v>
      </c>
      <c r="B23" s="19" t="s">
        <v>59</v>
      </c>
      <c r="C23" s="15">
        <f>C24</f>
        <v>5394448.4</v>
      </c>
      <c r="D23" s="15">
        <f>D24</f>
        <v>5394448.4</v>
      </c>
      <c r="E23" s="15">
        <f>E24</f>
        <v>5282828.28</v>
      </c>
      <c r="F23" s="15">
        <f t="shared" si="2"/>
        <v>5282828.28</v>
      </c>
      <c r="G23" s="15">
        <f aca="true" t="shared" si="11" ref="G23:Q23">G24</f>
        <v>4679961.3100000005</v>
      </c>
      <c r="H23" s="15">
        <f t="shared" si="11"/>
        <v>243534.34999999998</v>
      </c>
      <c r="I23" s="16">
        <f t="shared" si="1"/>
        <v>97.93083348429099</v>
      </c>
      <c r="J23" s="15">
        <f t="shared" si="11"/>
        <v>829765</v>
      </c>
      <c r="K23" s="15">
        <f t="shared" si="11"/>
        <v>829765</v>
      </c>
      <c r="L23" s="15">
        <f t="shared" si="11"/>
        <v>751562.44</v>
      </c>
      <c r="M23" s="15">
        <f t="shared" si="8"/>
        <v>629797.44</v>
      </c>
      <c r="N23" s="15">
        <f t="shared" si="11"/>
        <v>116145.20000000001</v>
      </c>
      <c r="O23" s="15">
        <f t="shared" si="11"/>
        <v>0</v>
      </c>
      <c r="P23" s="15">
        <f t="shared" si="11"/>
        <v>121765</v>
      </c>
      <c r="Q23" s="15">
        <f t="shared" si="11"/>
        <v>121765</v>
      </c>
      <c r="R23" s="15">
        <f t="shared" si="3"/>
        <v>90.57533639042379</v>
      </c>
      <c r="S23" s="15">
        <f t="shared" si="4"/>
        <v>6224213.4</v>
      </c>
      <c r="T23" s="15">
        <f t="shared" si="5"/>
        <v>6224213.4</v>
      </c>
      <c r="U23" s="15">
        <f t="shared" si="6"/>
        <v>6034390.720000001</v>
      </c>
      <c r="V23" s="15">
        <f t="shared" si="7"/>
        <v>96.95025430844001</v>
      </c>
    </row>
    <row r="24" spans="1:22" s="11" customFormat="1" ht="60">
      <c r="A24" s="38" t="s">
        <v>12</v>
      </c>
      <c r="B24" s="39" t="s">
        <v>11</v>
      </c>
      <c r="C24" s="20">
        <v>5394448.4</v>
      </c>
      <c r="D24" s="20">
        <v>5394448.4</v>
      </c>
      <c r="E24" s="20">
        <v>5282828.28</v>
      </c>
      <c r="F24" s="20">
        <f t="shared" si="2"/>
        <v>5282828.28</v>
      </c>
      <c r="G24" s="20">
        <f>3831374.81+848586.5</f>
        <v>4679961.3100000005</v>
      </c>
      <c r="H24" s="20">
        <f>26097.56+8600+107224.4+101612.39</f>
        <v>243534.34999999998</v>
      </c>
      <c r="I24" s="33">
        <f t="shared" si="1"/>
        <v>97.93083348429099</v>
      </c>
      <c r="J24" s="20">
        <v>829765</v>
      </c>
      <c r="K24" s="32">
        <v>829765</v>
      </c>
      <c r="L24" s="20">
        <v>751562.44</v>
      </c>
      <c r="M24" s="15">
        <f t="shared" si="8"/>
        <v>629797.44</v>
      </c>
      <c r="N24" s="20">
        <f>95528.24+20616.96</f>
        <v>116145.20000000001</v>
      </c>
      <c r="O24" s="20"/>
      <c r="P24" s="20">
        <v>121765</v>
      </c>
      <c r="Q24" s="20">
        <v>121765</v>
      </c>
      <c r="R24" s="20">
        <f t="shared" si="3"/>
        <v>90.57533639042379</v>
      </c>
      <c r="S24" s="15">
        <f t="shared" si="4"/>
        <v>6224213.4</v>
      </c>
      <c r="T24" s="15">
        <f t="shared" si="5"/>
        <v>6224213.4</v>
      </c>
      <c r="U24" s="15">
        <f t="shared" si="6"/>
        <v>6034390.720000001</v>
      </c>
      <c r="V24" s="20">
        <f t="shared" si="7"/>
        <v>96.95025430844001</v>
      </c>
    </row>
    <row r="25" spans="1:22" s="21" customFormat="1" ht="28.5">
      <c r="A25" s="17" t="s">
        <v>31</v>
      </c>
      <c r="B25" s="19" t="s">
        <v>60</v>
      </c>
      <c r="C25" s="15">
        <f>C26</f>
        <v>754733.79</v>
      </c>
      <c r="D25" s="15">
        <f aca="true" t="shared" si="12" ref="D25:Q25">D26</f>
        <v>754733.79</v>
      </c>
      <c r="E25" s="15">
        <f>E26</f>
        <v>753984.56</v>
      </c>
      <c r="F25" s="15">
        <f t="shared" si="2"/>
        <v>753984.56</v>
      </c>
      <c r="G25" s="15">
        <f t="shared" si="12"/>
        <v>597305.3</v>
      </c>
      <c r="H25" s="15">
        <f t="shared" si="12"/>
        <v>22529.72</v>
      </c>
      <c r="I25" s="16">
        <f t="shared" si="1"/>
        <v>99.90072923593364</v>
      </c>
      <c r="J25" s="15">
        <f t="shared" si="12"/>
        <v>51250</v>
      </c>
      <c r="K25" s="15">
        <f t="shared" si="12"/>
        <v>51250</v>
      </c>
      <c r="L25" s="15">
        <f t="shared" si="12"/>
        <v>23000</v>
      </c>
      <c r="M25" s="15">
        <f t="shared" si="8"/>
        <v>0</v>
      </c>
      <c r="N25" s="15">
        <f t="shared" si="12"/>
        <v>0</v>
      </c>
      <c r="O25" s="15">
        <f t="shared" si="12"/>
        <v>0</v>
      </c>
      <c r="P25" s="15">
        <f t="shared" si="12"/>
        <v>23000</v>
      </c>
      <c r="Q25" s="15">
        <f t="shared" si="12"/>
        <v>23000</v>
      </c>
      <c r="R25" s="15">
        <f t="shared" si="3"/>
        <v>44.87804878048781</v>
      </c>
      <c r="S25" s="15">
        <f t="shared" si="4"/>
        <v>805983.79</v>
      </c>
      <c r="T25" s="15">
        <f t="shared" si="5"/>
        <v>805983.79</v>
      </c>
      <c r="U25" s="15">
        <f t="shared" si="6"/>
        <v>776984.56</v>
      </c>
      <c r="V25" s="15">
        <f t="shared" si="7"/>
        <v>96.4020082835661</v>
      </c>
    </row>
    <row r="26" spans="1:22" s="11" customFormat="1" ht="30">
      <c r="A26" s="38" t="s">
        <v>32</v>
      </c>
      <c r="B26" s="39" t="s">
        <v>61</v>
      </c>
      <c r="C26" s="20">
        <v>754733.79</v>
      </c>
      <c r="D26" s="20">
        <v>754733.79</v>
      </c>
      <c r="E26" s="20">
        <v>753984.56</v>
      </c>
      <c r="F26" s="20">
        <f t="shared" si="2"/>
        <v>753984.56</v>
      </c>
      <c r="G26" s="20">
        <f>486921.15+110384.15</f>
        <v>597305.3</v>
      </c>
      <c r="H26" s="20">
        <f>73.3+2457.92+19998.5</f>
        <v>22529.72</v>
      </c>
      <c r="I26" s="33">
        <f t="shared" si="1"/>
        <v>99.90072923593364</v>
      </c>
      <c r="J26" s="20">
        <v>51250</v>
      </c>
      <c r="K26" s="33">
        <v>51250</v>
      </c>
      <c r="L26" s="20">
        <v>23000</v>
      </c>
      <c r="M26" s="15">
        <f t="shared" si="8"/>
        <v>0</v>
      </c>
      <c r="N26" s="20"/>
      <c r="O26" s="20"/>
      <c r="P26" s="20">
        <v>23000</v>
      </c>
      <c r="Q26" s="20">
        <v>23000</v>
      </c>
      <c r="R26" s="20">
        <f t="shared" si="3"/>
        <v>44.87804878048781</v>
      </c>
      <c r="S26" s="15">
        <f t="shared" si="4"/>
        <v>805983.79</v>
      </c>
      <c r="T26" s="15">
        <f t="shared" si="5"/>
        <v>805983.79</v>
      </c>
      <c r="U26" s="15">
        <f t="shared" si="6"/>
        <v>776984.56</v>
      </c>
      <c r="V26" s="20">
        <f t="shared" si="7"/>
        <v>96.4020082835661</v>
      </c>
    </row>
    <row r="27" spans="1:22" s="21" customFormat="1" ht="14.25">
      <c r="A27" s="17" t="s">
        <v>33</v>
      </c>
      <c r="B27" s="19" t="s">
        <v>62</v>
      </c>
      <c r="C27" s="15">
        <f>C28</f>
        <v>517201.47</v>
      </c>
      <c r="D27" s="15">
        <f aca="true" t="shared" si="13" ref="D27:Q27">D28</f>
        <v>517201.47</v>
      </c>
      <c r="E27" s="15">
        <f>E28</f>
        <v>441945.46</v>
      </c>
      <c r="F27" s="15">
        <f t="shared" si="2"/>
        <v>441945.46</v>
      </c>
      <c r="G27" s="15">
        <f t="shared" si="13"/>
        <v>0</v>
      </c>
      <c r="H27" s="15">
        <f t="shared" si="13"/>
        <v>0</v>
      </c>
      <c r="I27" s="16">
        <f t="shared" si="1"/>
        <v>85.44938203675252</v>
      </c>
      <c r="J27" s="15">
        <f t="shared" si="13"/>
        <v>0</v>
      </c>
      <c r="K27" s="15">
        <f t="shared" si="13"/>
        <v>0</v>
      </c>
      <c r="L27" s="15">
        <f t="shared" si="13"/>
        <v>0</v>
      </c>
      <c r="M27" s="15">
        <f t="shared" si="8"/>
        <v>0</v>
      </c>
      <c r="N27" s="15">
        <f t="shared" si="13"/>
        <v>0</v>
      </c>
      <c r="O27" s="15">
        <f t="shared" si="13"/>
        <v>0</v>
      </c>
      <c r="P27" s="15">
        <f t="shared" si="13"/>
        <v>0</v>
      </c>
      <c r="Q27" s="15">
        <f t="shared" si="13"/>
        <v>0</v>
      </c>
      <c r="R27" s="15" t="e">
        <f t="shared" si="3"/>
        <v>#DIV/0!</v>
      </c>
      <c r="S27" s="15">
        <f t="shared" si="4"/>
        <v>517201.47</v>
      </c>
      <c r="T27" s="15">
        <f t="shared" si="5"/>
        <v>517201.47</v>
      </c>
      <c r="U27" s="15">
        <f t="shared" si="6"/>
        <v>441945.46</v>
      </c>
      <c r="V27" s="15">
        <f t="shared" si="7"/>
        <v>85.44938203675252</v>
      </c>
    </row>
    <row r="28" spans="1:22" s="11" customFormat="1" ht="30">
      <c r="A28" s="38" t="s">
        <v>34</v>
      </c>
      <c r="B28" s="39" t="s">
        <v>63</v>
      </c>
      <c r="C28" s="20">
        <v>517201.47</v>
      </c>
      <c r="D28" s="20">
        <v>517201.47</v>
      </c>
      <c r="E28" s="20">
        <v>441945.46</v>
      </c>
      <c r="F28" s="20">
        <f t="shared" si="2"/>
        <v>441945.46</v>
      </c>
      <c r="G28" s="20"/>
      <c r="H28" s="20"/>
      <c r="I28" s="33">
        <f t="shared" si="1"/>
        <v>85.44938203675252</v>
      </c>
      <c r="J28" s="20">
        <v>0</v>
      </c>
      <c r="K28" s="33"/>
      <c r="L28" s="20">
        <v>0</v>
      </c>
      <c r="M28" s="15">
        <f t="shared" si="8"/>
        <v>0</v>
      </c>
      <c r="N28" s="20"/>
      <c r="O28" s="20"/>
      <c r="P28" s="20"/>
      <c r="Q28" s="20"/>
      <c r="R28" s="20" t="e">
        <f t="shared" si="3"/>
        <v>#DIV/0!</v>
      </c>
      <c r="S28" s="15">
        <f t="shared" si="4"/>
        <v>517201.47</v>
      </c>
      <c r="T28" s="15">
        <f t="shared" si="5"/>
        <v>517201.47</v>
      </c>
      <c r="U28" s="15">
        <f t="shared" si="6"/>
        <v>441945.46</v>
      </c>
      <c r="V28" s="20">
        <f t="shared" si="7"/>
        <v>85.44938203675252</v>
      </c>
    </row>
    <row r="29" spans="1:22" s="21" customFormat="1" ht="14.25">
      <c r="A29" s="17" t="s">
        <v>35</v>
      </c>
      <c r="B29" s="19" t="s">
        <v>64</v>
      </c>
      <c r="C29" s="15">
        <f>C30+C31</f>
        <v>79000</v>
      </c>
      <c r="D29" s="15">
        <f aca="true" t="shared" si="14" ref="D29:Q29">D30+D31</f>
        <v>79000</v>
      </c>
      <c r="E29" s="15">
        <f>E30+E31</f>
        <v>67712.23999999999</v>
      </c>
      <c r="F29" s="15">
        <f t="shared" si="2"/>
        <v>67712.23999999999</v>
      </c>
      <c r="G29" s="15">
        <f t="shared" si="14"/>
        <v>0</v>
      </c>
      <c r="H29" s="15">
        <f t="shared" si="14"/>
        <v>0</v>
      </c>
      <c r="I29" s="16">
        <f t="shared" si="1"/>
        <v>85.71169620253163</v>
      </c>
      <c r="J29" s="15">
        <f t="shared" si="14"/>
        <v>0</v>
      </c>
      <c r="K29" s="15">
        <f t="shared" si="14"/>
        <v>0</v>
      </c>
      <c r="L29" s="15">
        <f t="shared" si="14"/>
        <v>0</v>
      </c>
      <c r="M29" s="15">
        <f t="shared" si="8"/>
        <v>0</v>
      </c>
      <c r="N29" s="15">
        <f t="shared" si="14"/>
        <v>0</v>
      </c>
      <c r="O29" s="15">
        <f t="shared" si="14"/>
        <v>0</v>
      </c>
      <c r="P29" s="15">
        <f t="shared" si="14"/>
        <v>0</v>
      </c>
      <c r="Q29" s="15">
        <f t="shared" si="14"/>
        <v>0</v>
      </c>
      <c r="R29" s="15" t="e">
        <f t="shared" si="3"/>
        <v>#DIV/0!</v>
      </c>
      <c r="S29" s="15">
        <f t="shared" si="4"/>
        <v>79000</v>
      </c>
      <c r="T29" s="15">
        <f t="shared" si="5"/>
        <v>79000</v>
      </c>
      <c r="U29" s="15">
        <f t="shared" si="6"/>
        <v>67712.23999999999</v>
      </c>
      <c r="V29" s="15">
        <f t="shared" si="7"/>
        <v>85.71169620253163</v>
      </c>
    </row>
    <row r="30" spans="1:22" s="11" customFormat="1" ht="30">
      <c r="A30" s="38" t="s">
        <v>14</v>
      </c>
      <c r="B30" s="39" t="s">
        <v>13</v>
      </c>
      <c r="C30" s="20">
        <v>63000</v>
      </c>
      <c r="D30" s="20">
        <v>63000</v>
      </c>
      <c r="E30" s="20">
        <v>59416.74</v>
      </c>
      <c r="F30" s="20">
        <f t="shared" si="2"/>
        <v>59416.74</v>
      </c>
      <c r="G30" s="20"/>
      <c r="H30" s="20"/>
      <c r="I30" s="33">
        <f t="shared" si="1"/>
        <v>94.31228571428572</v>
      </c>
      <c r="J30" s="20">
        <v>0</v>
      </c>
      <c r="K30" s="33"/>
      <c r="L30" s="20">
        <v>0</v>
      </c>
      <c r="M30" s="15">
        <f t="shared" si="8"/>
        <v>0</v>
      </c>
      <c r="N30" s="20"/>
      <c r="O30" s="20"/>
      <c r="P30" s="20"/>
      <c r="Q30" s="20"/>
      <c r="R30" s="20" t="e">
        <f t="shared" si="3"/>
        <v>#DIV/0!</v>
      </c>
      <c r="S30" s="15">
        <f t="shared" si="4"/>
        <v>63000</v>
      </c>
      <c r="T30" s="15">
        <f t="shared" si="5"/>
        <v>63000</v>
      </c>
      <c r="U30" s="15">
        <f t="shared" si="6"/>
        <v>59416.74</v>
      </c>
      <c r="V30" s="20">
        <f t="shared" si="7"/>
        <v>94.31228571428572</v>
      </c>
    </row>
    <row r="31" spans="1:22" s="11" customFormat="1" ht="30">
      <c r="A31" s="38" t="s">
        <v>36</v>
      </c>
      <c r="B31" s="39" t="s">
        <v>65</v>
      </c>
      <c r="C31" s="20">
        <v>16000</v>
      </c>
      <c r="D31" s="20">
        <v>16000</v>
      </c>
      <c r="E31" s="20">
        <v>8295.5</v>
      </c>
      <c r="F31" s="20">
        <f t="shared" si="2"/>
        <v>8295.5</v>
      </c>
      <c r="G31" s="20"/>
      <c r="H31" s="20"/>
      <c r="I31" s="33">
        <f t="shared" si="1"/>
        <v>51.846875000000004</v>
      </c>
      <c r="J31" s="20">
        <v>0</v>
      </c>
      <c r="K31" s="33"/>
      <c r="L31" s="20">
        <v>0</v>
      </c>
      <c r="M31" s="15">
        <f t="shared" si="8"/>
        <v>0</v>
      </c>
      <c r="N31" s="20"/>
      <c r="O31" s="20"/>
      <c r="P31" s="20"/>
      <c r="Q31" s="20"/>
      <c r="R31" s="20" t="e">
        <f t="shared" si="3"/>
        <v>#DIV/0!</v>
      </c>
      <c r="S31" s="15">
        <f t="shared" si="4"/>
        <v>16000</v>
      </c>
      <c r="T31" s="15">
        <f t="shared" si="5"/>
        <v>16000</v>
      </c>
      <c r="U31" s="15">
        <f t="shared" si="6"/>
        <v>8295.5</v>
      </c>
      <c r="V31" s="20">
        <f t="shared" si="7"/>
        <v>51.846875000000004</v>
      </c>
    </row>
    <row r="32" spans="1:22" s="21" customFormat="1" ht="57">
      <c r="A32" s="17" t="s">
        <v>37</v>
      </c>
      <c r="B32" s="19" t="s">
        <v>66</v>
      </c>
      <c r="C32" s="15">
        <v>3420997</v>
      </c>
      <c r="D32" s="15">
        <v>3420997</v>
      </c>
      <c r="E32" s="15">
        <v>3419492.12</v>
      </c>
      <c r="F32" s="15">
        <f t="shared" si="2"/>
        <v>3419492.12</v>
      </c>
      <c r="G32" s="15"/>
      <c r="H32" s="15"/>
      <c r="I32" s="16">
        <f t="shared" si="1"/>
        <v>99.95601048466281</v>
      </c>
      <c r="J32" s="15">
        <v>0</v>
      </c>
      <c r="K32" s="16"/>
      <c r="L32" s="15">
        <v>0</v>
      </c>
      <c r="M32" s="15">
        <f t="shared" si="8"/>
        <v>0</v>
      </c>
      <c r="N32" s="15"/>
      <c r="O32" s="15"/>
      <c r="P32" s="15"/>
      <c r="Q32" s="15"/>
      <c r="R32" s="15" t="e">
        <f t="shared" si="3"/>
        <v>#DIV/0!</v>
      </c>
      <c r="S32" s="15">
        <f t="shared" si="4"/>
        <v>3420997</v>
      </c>
      <c r="T32" s="15">
        <f t="shared" si="5"/>
        <v>3420997</v>
      </c>
      <c r="U32" s="15">
        <f t="shared" si="6"/>
        <v>3419492.12</v>
      </c>
      <c r="V32" s="15">
        <f t="shared" si="7"/>
        <v>99.95601048466281</v>
      </c>
    </row>
    <row r="33" spans="1:22" s="21" customFormat="1" ht="14.25">
      <c r="A33" s="17" t="s">
        <v>38</v>
      </c>
      <c r="B33" s="19" t="s">
        <v>67</v>
      </c>
      <c r="C33" s="15">
        <v>2245643</v>
      </c>
      <c r="D33" s="15">
        <v>2245643</v>
      </c>
      <c r="E33" s="15">
        <v>1949480.71</v>
      </c>
      <c r="F33" s="15">
        <f t="shared" si="2"/>
        <v>1949480.71</v>
      </c>
      <c r="G33" s="15">
        <f>24249.36+5334.88</f>
        <v>29584.24</v>
      </c>
      <c r="H33" s="15">
        <f>1725.81+773999.64</f>
        <v>775725.4500000001</v>
      </c>
      <c r="I33" s="16">
        <f t="shared" si="1"/>
        <v>86.81169313198936</v>
      </c>
      <c r="J33" s="15">
        <v>286179.46</v>
      </c>
      <c r="K33" s="16">
        <v>286179.46</v>
      </c>
      <c r="L33" s="15">
        <v>228171.05</v>
      </c>
      <c r="M33" s="15">
        <f t="shared" si="8"/>
        <v>191840.05</v>
      </c>
      <c r="N33" s="15">
        <f>29234.3+6431.76</f>
        <v>35666.06</v>
      </c>
      <c r="O33" s="15">
        <f>7300+48254.1</f>
        <v>55554.1</v>
      </c>
      <c r="P33" s="15">
        <v>36331</v>
      </c>
      <c r="Q33" s="15">
        <v>29831</v>
      </c>
      <c r="R33" s="15">
        <f t="shared" si="3"/>
        <v>79.7300581949522</v>
      </c>
      <c r="S33" s="15">
        <f t="shared" si="4"/>
        <v>2531822.46</v>
      </c>
      <c r="T33" s="15">
        <f t="shared" si="5"/>
        <v>2531822.46</v>
      </c>
      <c r="U33" s="15">
        <f t="shared" si="6"/>
        <v>2177651.76</v>
      </c>
      <c r="V33" s="15">
        <f t="shared" si="7"/>
        <v>86.0112347688076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735500</v>
      </c>
      <c r="D34" s="15">
        <f aca="true" t="shared" si="15" ref="D34:Q34">D35</f>
        <v>735500</v>
      </c>
      <c r="E34" s="15">
        <f>E35</f>
        <v>735500</v>
      </c>
      <c r="F34" s="15">
        <f t="shared" si="2"/>
        <v>735500</v>
      </c>
      <c r="G34" s="15">
        <f t="shared" si="15"/>
        <v>0</v>
      </c>
      <c r="H34" s="15">
        <f t="shared" si="15"/>
        <v>0</v>
      </c>
      <c r="I34" s="16">
        <f t="shared" si="1"/>
        <v>100</v>
      </c>
      <c r="J34" s="15">
        <f t="shared" si="15"/>
        <v>0</v>
      </c>
      <c r="K34" s="15">
        <f t="shared" si="15"/>
        <v>0</v>
      </c>
      <c r="L34" s="15">
        <f t="shared" si="15"/>
        <v>0</v>
      </c>
      <c r="M34" s="15">
        <f t="shared" si="8"/>
        <v>0</v>
      </c>
      <c r="N34" s="15">
        <f t="shared" si="15"/>
        <v>0</v>
      </c>
      <c r="O34" s="15">
        <f t="shared" si="15"/>
        <v>0</v>
      </c>
      <c r="P34" s="15">
        <f t="shared" si="15"/>
        <v>0</v>
      </c>
      <c r="Q34" s="15">
        <f t="shared" si="15"/>
        <v>0</v>
      </c>
      <c r="R34" s="15" t="e">
        <f t="shared" si="3"/>
        <v>#DIV/0!</v>
      </c>
      <c r="S34" s="15">
        <f t="shared" si="4"/>
        <v>735500</v>
      </c>
      <c r="T34" s="15">
        <f t="shared" si="5"/>
        <v>735500</v>
      </c>
      <c r="U34" s="15">
        <f t="shared" si="6"/>
        <v>735500</v>
      </c>
      <c r="V34" s="15">
        <f t="shared" si="7"/>
        <v>100</v>
      </c>
    </row>
    <row r="35" spans="1:22" s="11" customFormat="1" ht="90">
      <c r="A35" s="38" t="s">
        <v>40</v>
      </c>
      <c r="B35" s="39" t="s">
        <v>69</v>
      </c>
      <c r="C35" s="20">
        <v>735500</v>
      </c>
      <c r="D35" s="20">
        <v>735500</v>
      </c>
      <c r="E35" s="20">
        <v>735500</v>
      </c>
      <c r="F35" s="20">
        <f t="shared" si="2"/>
        <v>735500</v>
      </c>
      <c r="G35" s="20"/>
      <c r="H35" s="20"/>
      <c r="I35" s="33">
        <f t="shared" si="1"/>
        <v>100</v>
      </c>
      <c r="J35" s="20">
        <v>0</v>
      </c>
      <c r="K35" s="33"/>
      <c r="L35" s="20">
        <v>0</v>
      </c>
      <c r="M35" s="15">
        <f t="shared" si="8"/>
        <v>0</v>
      </c>
      <c r="N35" s="20"/>
      <c r="O35" s="20"/>
      <c r="P35" s="20"/>
      <c r="Q35" s="20"/>
      <c r="R35" s="20" t="e">
        <f t="shared" si="3"/>
        <v>#DIV/0!</v>
      </c>
      <c r="S35" s="15">
        <f t="shared" si="4"/>
        <v>735500</v>
      </c>
      <c r="T35" s="15">
        <f t="shared" si="5"/>
        <v>735500</v>
      </c>
      <c r="U35" s="15">
        <f t="shared" si="6"/>
        <v>735500</v>
      </c>
      <c r="V35" s="20">
        <f t="shared" si="7"/>
        <v>100</v>
      </c>
    </row>
    <row r="36" spans="1:22" s="21" customFormat="1" ht="71.25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576529.51</v>
      </c>
      <c r="K36" s="16">
        <v>576529.51</v>
      </c>
      <c r="L36" s="15">
        <v>576529.51</v>
      </c>
      <c r="M36" s="15">
        <f t="shared" si="8"/>
        <v>0</v>
      </c>
      <c r="N36" s="15"/>
      <c r="O36" s="15"/>
      <c r="P36" s="15">
        <v>576529.51</v>
      </c>
      <c r="Q36" s="15">
        <v>576529.51</v>
      </c>
      <c r="R36" s="15"/>
      <c r="S36" s="15">
        <f t="shared" si="4"/>
        <v>576529.51</v>
      </c>
      <c r="T36" s="15">
        <f t="shared" si="5"/>
        <v>576529.51</v>
      </c>
      <c r="U36" s="15">
        <f t="shared" si="6"/>
        <v>576529.51</v>
      </c>
      <c r="V36" s="15">
        <f t="shared" si="7"/>
        <v>100</v>
      </c>
    </row>
    <row r="37" spans="1:22" s="21" customFormat="1" ht="14.25">
      <c r="A37" s="17" t="s">
        <v>41</v>
      </c>
      <c r="B37" s="19" t="s">
        <v>70</v>
      </c>
      <c r="C37" s="15">
        <v>258000</v>
      </c>
      <c r="D37" s="15">
        <v>258000</v>
      </c>
      <c r="E37" s="15">
        <v>249228.4</v>
      </c>
      <c r="F37" s="15">
        <f t="shared" si="2"/>
        <v>249228.4</v>
      </c>
      <c r="G37" s="15"/>
      <c r="H37" s="15"/>
      <c r="I37" s="16">
        <f t="shared" si="1"/>
        <v>96.60015503875968</v>
      </c>
      <c r="J37" s="15">
        <v>113400</v>
      </c>
      <c r="K37" s="31">
        <v>113400</v>
      </c>
      <c r="L37" s="15">
        <v>111900</v>
      </c>
      <c r="M37" s="15">
        <f t="shared" si="8"/>
        <v>0</v>
      </c>
      <c r="N37" s="15"/>
      <c r="O37" s="15"/>
      <c r="P37" s="15">
        <v>111900</v>
      </c>
      <c r="Q37" s="15">
        <v>111900</v>
      </c>
      <c r="R37" s="15">
        <f t="shared" si="3"/>
        <v>98.67724867724867</v>
      </c>
      <c r="S37" s="15">
        <f t="shared" si="4"/>
        <v>371400</v>
      </c>
      <c r="T37" s="15">
        <f t="shared" si="5"/>
        <v>371400</v>
      </c>
      <c r="U37" s="15">
        <f t="shared" si="6"/>
        <v>361128.4</v>
      </c>
      <c r="V37" s="15">
        <f t="shared" si="7"/>
        <v>97.2343564889607</v>
      </c>
    </row>
    <row r="38" spans="1:22" s="21" customFormat="1" ht="28.5">
      <c r="A38" s="17" t="s">
        <v>147</v>
      </c>
      <c r="B38" s="51" t="s">
        <v>146</v>
      </c>
      <c r="C38" s="15"/>
      <c r="D38" s="15"/>
      <c r="E38" s="15"/>
      <c r="F38" s="15"/>
      <c r="G38" s="15"/>
      <c r="H38" s="15"/>
      <c r="I38" s="16"/>
      <c r="J38" s="15">
        <v>42100</v>
      </c>
      <c r="K38" s="31">
        <v>42100</v>
      </c>
      <c r="L38" s="15">
        <v>42100</v>
      </c>
      <c r="M38" s="15">
        <f t="shared" si="8"/>
        <v>0</v>
      </c>
      <c r="N38" s="15"/>
      <c r="O38" s="15"/>
      <c r="P38" s="15">
        <v>42100</v>
      </c>
      <c r="Q38" s="15">
        <v>42100</v>
      </c>
      <c r="R38" s="15">
        <f t="shared" si="3"/>
        <v>100</v>
      </c>
      <c r="S38" s="15">
        <f t="shared" si="4"/>
        <v>42100</v>
      </c>
      <c r="T38" s="15">
        <f t="shared" si="5"/>
        <v>42100</v>
      </c>
      <c r="U38" s="15">
        <f t="shared" si="6"/>
        <v>42100</v>
      </c>
      <c r="V38" s="15">
        <f t="shared" si="7"/>
        <v>100</v>
      </c>
    </row>
    <row r="39" spans="1:22" s="21" customFormat="1" ht="14.25">
      <c r="A39" s="17" t="s">
        <v>42</v>
      </c>
      <c r="B39" s="19" t="s">
        <v>71</v>
      </c>
      <c r="C39" s="15">
        <f>C41</f>
        <v>0</v>
      </c>
      <c r="D39" s="15">
        <f>D41</f>
        <v>0</v>
      </c>
      <c r="E39" s="15">
        <f>E41</f>
        <v>0</v>
      </c>
      <c r="F39" s="15">
        <f t="shared" si="2"/>
        <v>0</v>
      </c>
      <c r="G39" s="15">
        <f>G41</f>
        <v>0</v>
      </c>
      <c r="H39" s="15">
        <f>H41</f>
        <v>0</v>
      </c>
      <c r="I39" s="16" t="e">
        <f t="shared" si="1"/>
        <v>#DIV/0!</v>
      </c>
      <c r="J39" s="15">
        <f aca="true" t="shared" si="16" ref="J39:Q39">J40+J41</f>
        <v>13562411.719999999</v>
      </c>
      <c r="K39" s="15">
        <f t="shared" si="16"/>
        <v>13562411.719999999</v>
      </c>
      <c r="L39" s="15">
        <f t="shared" si="16"/>
        <v>11611180.36</v>
      </c>
      <c r="M39" s="15">
        <f t="shared" si="8"/>
        <v>0</v>
      </c>
      <c r="N39" s="15">
        <f t="shared" si="16"/>
        <v>0</v>
      </c>
      <c r="O39" s="15">
        <f t="shared" si="16"/>
        <v>0</v>
      </c>
      <c r="P39" s="15">
        <f t="shared" si="16"/>
        <v>11611180.36</v>
      </c>
      <c r="Q39" s="15">
        <f t="shared" si="16"/>
        <v>11611180.36</v>
      </c>
      <c r="R39" s="15">
        <f t="shared" si="3"/>
        <v>85.61294701647651</v>
      </c>
      <c r="S39" s="15">
        <f t="shared" si="4"/>
        <v>13562411.719999999</v>
      </c>
      <c r="T39" s="15">
        <f t="shared" si="5"/>
        <v>13562411.719999999</v>
      </c>
      <c r="U39" s="15">
        <f t="shared" si="6"/>
        <v>11611180.36</v>
      </c>
      <c r="V39" s="15">
        <f t="shared" si="7"/>
        <v>85.61294701647651</v>
      </c>
    </row>
    <row r="40" spans="1:22" s="11" customFormat="1" ht="45">
      <c r="A40" s="38" t="s">
        <v>148</v>
      </c>
      <c r="B40" s="47" t="s">
        <v>143</v>
      </c>
      <c r="C40" s="20"/>
      <c r="D40" s="20"/>
      <c r="E40" s="20"/>
      <c r="F40" s="20"/>
      <c r="G40" s="20"/>
      <c r="H40" s="20"/>
      <c r="I40" s="33"/>
      <c r="J40" s="20">
        <v>7765800</v>
      </c>
      <c r="K40" s="20">
        <v>7765800</v>
      </c>
      <c r="L40" s="20">
        <v>7693156.8</v>
      </c>
      <c r="M40" s="15">
        <f t="shared" si="8"/>
        <v>0</v>
      </c>
      <c r="N40" s="20"/>
      <c r="O40" s="20"/>
      <c r="P40" s="20">
        <v>7693156.8</v>
      </c>
      <c r="Q40" s="20">
        <v>7693156.8</v>
      </c>
      <c r="R40" s="15">
        <f t="shared" si="3"/>
        <v>99.06457544618713</v>
      </c>
      <c r="S40" s="15">
        <f t="shared" si="4"/>
        <v>7765800</v>
      </c>
      <c r="T40" s="15">
        <f t="shared" si="5"/>
        <v>7765800</v>
      </c>
      <c r="U40" s="15">
        <f t="shared" si="6"/>
        <v>7693156.8</v>
      </c>
      <c r="V40" s="15">
        <f t="shared" si="7"/>
        <v>99.06457544618713</v>
      </c>
    </row>
    <row r="41" spans="1:22" s="11" customFormat="1" ht="45">
      <c r="A41" s="38" t="s">
        <v>43</v>
      </c>
      <c r="B41" s="39" t="s">
        <v>72</v>
      </c>
      <c r="C41" s="20">
        <v>0</v>
      </c>
      <c r="D41" s="20"/>
      <c r="E41" s="20"/>
      <c r="F41" s="20">
        <f t="shared" si="2"/>
        <v>0</v>
      </c>
      <c r="G41" s="20"/>
      <c r="H41" s="20"/>
      <c r="I41" s="33" t="e">
        <f t="shared" si="1"/>
        <v>#DIV/0!</v>
      </c>
      <c r="J41" s="20">
        <v>5796611.72</v>
      </c>
      <c r="K41" s="33">
        <v>5796611.72</v>
      </c>
      <c r="L41" s="20">
        <v>3918023.56</v>
      </c>
      <c r="M41" s="15">
        <f t="shared" si="8"/>
        <v>0</v>
      </c>
      <c r="N41" s="20"/>
      <c r="O41" s="20"/>
      <c r="P41" s="20">
        <v>3918023.56</v>
      </c>
      <c r="Q41" s="20">
        <v>3918023.56</v>
      </c>
      <c r="R41" s="20">
        <f t="shared" si="3"/>
        <v>67.59161643485068</v>
      </c>
      <c r="S41" s="15">
        <f t="shared" si="4"/>
        <v>5796611.72</v>
      </c>
      <c r="T41" s="15">
        <f t="shared" si="5"/>
        <v>5796611.72</v>
      </c>
      <c r="U41" s="15">
        <f t="shared" si="6"/>
        <v>3918023.56</v>
      </c>
      <c r="V41" s="20">
        <f t="shared" si="7"/>
        <v>67.59161643485068</v>
      </c>
    </row>
    <row r="42" spans="1:22" s="21" customFormat="1" ht="28.5">
      <c r="A42" s="17" t="s">
        <v>44</v>
      </c>
      <c r="B42" s="19" t="s">
        <v>73</v>
      </c>
      <c r="C42" s="15">
        <f>C43</f>
        <v>275000</v>
      </c>
      <c r="D42" s="15">
        <f aca="true" t="shared" si="17" ref="D42:Q42">D43</f>
        <v>275000</v>
      </c>
      <c r="E42" s="15">
        <f>E43</f>
        <v>245992</v>
      </c>
      <c r="F42" s="15">
        <f t="shared" si="2"/>
        <v>245992</v>
      </c>
      <c r="G42" s="15">
        <f t="shared" si="17"/>
        <v>0</v>
      </c>
      <c r="H42" s="15">
        <f t="shared" si="17"/>
        <v>0</v>
      </c>
      <c r="I42" s="16">
        <f t="shared" si="1"/>
        <v>89.45163636363637</v>
      </c>
      <c r="J42" s="15">
        <f t="shared" si="17"/>
        <v>0</v>
      </c>
      <c r="K42" s="15">
        <f t="shared" si="17"/>
        <v>0</v>
      </c>
      <c r="L42" s="15">
        <f t="shared" si="17"/>
        <v>0</v>
      </c>
      <c r="M42" s="15">
        <f t="shared" si="8"/>
        <v>0</v>
      </c>
      <c r="N42" s="15">
        <f t="shared" si="17"/>
        <v>0</v>
      </c>
      <c r="O42" s="15">
        <f t="shared" si="17"/>
        <v>0</v>
      </c>
      <c r="P42" s="15">
        <f t="shared" si="17"/>
        <v>0</v>
      </c>
      <c r="Q42" s="15">
        <f t="shared" si="17"/>
        <v>0</v>
      </c>
      <c r="R42" s="15" t="e">
        <f t="shared" si="3"/>
        <v>#DIV/0!</v>
      </c>
      <c r="S42" s="15">
        <f t="shared" si="4"/>
        <v>275000</v>
      </c>
      <c r="T42" s="15">
        <f t="shared" si="5"/>
        <v>275000</v>
      </c>
      <c r="U42" s="15">
        <f t="shared" si="6"/>
        <v>245992</v>
      </c>
      <c r="V42" s="15">
        <f t="shared" si="7"/>
        <v>89.45163636363637</v>
      </c>
    </row>
    <row r="43" spans="1:22" s="11" customFormat="1" ht="30">
      <c r="A43" s="38" t="s">
        <v>45</v>
      </c>
      <c r="B43" s="39" t="s">
        <v>74</v>
      </c>
      <c r="C43" s="20">
        <v>275000</v>
      </c>
      <c r="D43" s="20">
        <v>275000</v>
      </c>
      <c r="E43" s="20">
        <v>245992</v>
      </c>
      <c r="F43" s="20">
        <f t="shared" si="2"/>
        <v>245992</v>
      </c>
      <c r="G43" s="20"/>
      <c r="H43" s="20"/>
      <c r="I43" s="33">
        <f t="shared" si="1"/>
        <v>89.45163636363637</v>
      </c>
      <c r="J43" s="20">
        <v>0</v>
      </c>
      <c r="K43" s="32"/>
      <c r="L43" s="20">
        <v>0</v>
      </c>
      <c r="M43" s="15">
        <f t="shared" si="8"/>
        <v>0</v>
      </c>
      <c r="N43" s="20"/>
      <c r="O43" s="20"/>
      <c r="P43" s="20"/>
      <c r="Q43" s="20"/>
      <c r="R43" s="20" t="e">
        <f t="shared" si="3"/>
        <v>#DIV/0!</v>
      </c>
      <c r="S43" s="15">
        <f t="shared" si="4"/>
        <v>275000</v>
      </c>
      <c r="T43" s="15">
        <f t="shared" si="5"/>
        <v>275000</v>
      </c>
      <c r="U43" s="15">
        <f t="shared" si="6"/>
        <v>245992</v>
      </c>
      <c r="V43" s="20">
        <f t="shared" si="7"/>
        <v>89.45163636363637</v>
      </c>
    </row>
    <row r="44" spans="1:22" s="21" customFormat="1" ht="28.5">
      <c r="A44" s="17" t="s">
        <v>46</v>
      </c>
      <c r="B44" s="19" t="s">
        <v>75</v>
      </c>
      <c r="C44" s="15">
        <f>C45</f>
        <v>2151765.53</v>
      </c>
      <c r="D44" s="15">
        <f aca="true" t="shared" si="18" ref="D44:Q44">D45</f>
        <v>2151765.53</v>
      </c>
      <c r="E44" s="15">
        <f>E45</f>
        <v>2136662.55</v>
      </c>
      <c r="F44" s="15">
        <f t="shared" si="2"/>
        <v>2136662.55</v>
      </c>
      <c r="G44" s="15">
        <f t="shared" si="18"/>
        <v>0</v>
      </c>
      <c r="H44" s="15">
        <f t="shared" si="18"/>
        <v>0</v>
      </c>
      <c r="I44" s="16">
        <f t="shared" si="1"/>
        <v>99.29811218790181</v>
      </c>
      <c r="J44" s="15">
        <f t="shared" si="18"/>
        <v>1372373</v>
      </c>
      <c r="K44" s="15">
        <f t="shared" si="18"/>
        <v>1372373</v>
      </c>
      <c r="L44" s="15">
        <f t="shared" si="18"/>
        <v>1337247.8</v>
      </c>
      <c r="M44" s="15">
        <f t="shared" si="8"/>
        <v>77000</v>
      </c>
      <c r="N44" s="15">
        <f t="shared" si="18"/>
        <v>0</v>
      </c>
      <c r="O44" s="15">
        <f t="shared" si="18"/>
        <v>0</v>
      </c>
      <c r="P44" s="15">
        <f t="shared" si="18"/>
        <v>1260247.8</v>
      </c>
      <c r="Q44" s="15">
        <f t="shared" si="18"/>
        <v>1260247.8</v>
      </c>
      <c r="R44" s="15">
        <f t="shared" si="3"/>
        <v>97.44055005454057</v>
      </c>
      <c r="S44" s="15">
        <f t="shared" si="4"/>
        <v>3524138.53</v>
      </c>
      <c r="T44" s="15">
        <f t="shared" si="5"/>
        <v>3524138.53</v>
      </c>
      <c r="U44" s="15">
        <f t="shared" si="6"/>
        <v>3473910.3499999996</v>
      </c>
      <c r="V44" s="15">
        <f t="shared" si="7"/>
        <v>98.57473877452824</v>
      </c>
    </row>
    <row r="45" spans="1:22" s="11" customFormat="1" ht="30">
      <c r="A45" s="38" t="s">
        <v>47</v>
      </c>
      <c r="B45" s="39" t="s">
        <v>76</v>
      </c>
      <c r="C45" s="20">
        <v>2151765.53</v>
      </c>
      <c r="D45" s="20">
        <v>2151765.53</v>
      </c>
      <c r="E45" s="20">
        <v>2136662.55</v>
      </c>
      <c r="F45" s="20">
        <f t="shared" si="2"/>
        <v>2136662.55</v>
      </c>
      <c r="G45" s="20"/>
      <c r="H45" s="20"/>
      <c r="I45" s="33">
        <f t="shared" si="1"/>
        <v>99.29811218790181</v>
      </c>
      <c r="J45" s="20">
        <v>1372373</v>
      </c>
      <c r="K45" s="32">
        <v>1372373</v>
      </c>
      <c r="L45" s="20">
        <v>1337247.8</v>
      </c>
      <c r="M45" s="15">
        <f t="shared" si="8"/>
        <v>77000</v>
      </c>
      <c r="N45" s="20"/>
      <c r="O45" s="20"/>
      <c r="P45" s="20">
        <v>1260247.8</v>
      </c>
      <c r="Q45" s="20">
        <v>1260247.8</v>
      </c>
      <c r="R45" s="20">
        <f t="shared" si="3"/>
        <v>97.44055005454057</v>
      </c>
      <c r="S45" s="15">
        <f t="shared" si="4"/>
        <v>3524138.53</v>
      </c>
      <c r="T45" s="15">
        <f t="shared" si="5"/>
        <v>3524138.53</v>
      </c>
      <c r="U45" s="15">
        <f t="shared" si="6"/>
        <v>3473910.3499999996</v>
      </c>
      <c r="V45" s="20">
        <f t="shared" si="7"/>
        <v>98.57473877452824</v>
      </c>
    </row>
    <row r="46" spans="1:22" s="21" customFormat="1" ht="28.5">
      <c r="A46" s="17" t="s">
        <v>48</v>
      </c>
      <c r="B46" s="19" t="s">
        <v>77</v>
      </c>
      <c r="C46" s="15">
        <v>25200</v>
      </c>
      <c r="D46" s="15">
        <v>25200</v>
      </c>
      <c r="E46" s="15">
        <v>25137</v>
      </c>
      <c r="F46" s="15">
        <f t="shared" si="2"/>
        <v>25137</v>
      </c>
      <c r="G46" s="15"/>
      <c r="H46" s="15"/>
      <c r="I46" s="16">
        <f t="shared" si="1"/>
        <v>99.75</v>
      </c>
      <c r="J46" s="15">
        <v>0</v>
      </c>
      <c r="K46" s="31"/>
      <c r="L46" s="15">
        <v>0</v>
      </c>
      <c r="M46" s="15">
        <f t="shared" si="8"/>
        <v>0</v>
      </c>
      <c r="N46" s="15"/>
      <c r="O46" s="15"/>
      <c r="P46" s="15"/>
      <c r="Q46" s="15"/>
      <c r="R46" s="15" t="e">
        <f t="shared" si="3"/>
        <v>#DIV/0!</v>
      </c>
      <c r="S46" s="15">
        <f t="shared" si="4"/>
        <v>25200</v>
      </c>
      <c r="T46" s="15">
        <f t="shared" si="5"/>
        <v>25200</v>
      </c>
      <c r="U46" s="15">
        <f t="shared" si="6"/>
        <v>25137</v>
      </c>
      <c r="V46" s="15">
        <f t="shared" si="7"/>
        <v>99.75</v>
      </c>
    </row>
    <row r="47" spans="1:22" s="21" customFormat="1" ht="42.75">
      <c r="A47" s="17" t="s">
        <v>49</v>
      </c>
      <c r="B47" s="19" t="s">
        <v>78</v>
      </c>
      <c r="C47" s="15">
        <v>10700</v>
      </c>
      <c r="D47" s="15">
        <v>10700</v>
      </c>
      <c r="E47" s="15">
        <v>2750</v>
      </c>
      <c r="F47" s="15">
        <f t="shared" si="2"/>
        <v>2750</v>
      </c>
      <c r="G47" s="15"/>
      <c r="H47" s="15"/>
      <c r="I47" s="16">
        <f t="shared" si="1"/>
        <v>25.70093457943925</v>
      </c>
      <c r="J47" s="15">
        <v>39300</v>
      </c>
      <c r="K47" s="16">
        <v>39300</v>
      </c>
      <c r="L47" s="15">
        <v>39300</v>
      </c>
      <c r="M47" s="15">
        <f t="shared" si="8"/>
        <v>0</v>
      </c>
      <c r="N47" s="15"/>
      <c r="O47" s="15"/>
      <c r="P47" s="15">
        <v>39300</v>
      </c>
      <c r="Q47" s="15">
        <v>39300</v>
      </c>
      <c r="R47" s="15">
        <f t="shared" si="3"/>
        <v>100</v>
      </c>
      <c r="S47" s="15">
        <f t="shared" si="4"/>
        <v>50000</v>
      </c>
      <c r="T47" s="15">
        <f t="shared" si="5"/>
        <v>50000</v>
      </c>
      <c r="U47" s="15">
        <f t="shared" si="6"/>
        <v>42050</v>
      </c>
      <c r="V47" s="15">
        <f t="shared" si="7"/>
        <v>84.1</v>
      </c>
    </row>
    <row r="48" spans="1:22" s="21" customFormat="1" ht="28.5">
      <c r="A48" s="17" t="s">
        <v>50</v>
      </c>
      <c r="B48" s="19" t="s">
        <v>79</v>
      </c>
      <c r="C48" s="15">
        <v>1687186</v>
      </c>
      <c r="D48" s="15">
        <v>1687186</v>
      </c>
      <c r="E48" s="15">
        <v>1680463.57</v>
      </c>
      <c r="F48" s="15">
        <f t="shared" si="2"/>
        <v>1680463.57</v>
      </c>
      <c r="G48" s="15">
        <f>1046313.58+230994.22</f>
        <v>1277307.8</v>
      </c>
      <c r="H48" s="15">
        <f>8965.2+23290</f>
        <v>32255.2</v>
      </c>
      <c r="I48" s="16">
        <f t="shared" si="1"/>
        <v>99.60155963835642</v>
      </c>
      <c r="J48" s="15">
        <v>29755</v>
      </c>
      <c r="K48" s="31">
        <v>29755</v>
      </c>
      <c r="L48" s="15">
        <v>24755</v>
      </c>
      <c r="M48" s="15">
        <f t="shared" si="8"/>
        <v>13755</v>
      </c>
      <c r="N48" s="15"/>
      <c r="O48" s="15">
        <v>4500</v>
      </c>
      <c r="P48" s="15">
        <v>11000</v>
      </c>
      <c r="Q48" s="15">
        <v>11000</v>
      </c>
      <c r="R48" s="15">
        <f t="shared" si="3"/>
        <v>83.19610149554697</v>
      </c>
      <c r="S48" s="15">
        <f t="shared" si="4"/>
        <v>1716941</v>
      </c>
      <c r="T48" s="15">
        <f t="shared" si="5"/>
        <v>1716941</v>
      </c>
      <c r="U48" s="15">
        <f t="shared" si="6"/>
        <v>1705218.57</v>
      </c>
      <c r="V48" s="15">
        <f t="shared" si="7"/>
        <v>99.31724910756981</v>
      </c>
    </row>
    <row r="49" spans="1:22" s="21" customFormat="1" ht="28.5">
      <c r="A49" s="17" t="s">
        <v>51</v>
      </c>
      <c r="B49" s="19" t="s">
        <v>80</v>
      </c>
      <c r="C49" s="15">
        <f>C50</f>
        <v>0</v>
      </c>
      <c r="D49" s="15">
        <f aca="true" t="shared" si="19" ref="D49:Q49">D50</f>
        <v>0</v>
      </c>
      <c r="E49" s="15">
        <f>E50</f>
        <v>0</v>
      </c>
      <c r="F49" s="15">
        <f t="shared" si="2"/>
        <v>0</v>
      </c>
      <c r="G49" s="15">
        <f t="shared" si="19"/>
        <v>0</v>
      </c>
      <c r="H49" s="15">
        <f>H50</f>
        <v>0</v>
      </c>
      <c r="I49" s="16" t="e">
        <f t="shared" si="1"/>
        <v>#DIV/0!</v>
      </c>
      <c r="J49" s="15">
        <f t="shared" si="19"/>
        <v>275700</v>
      </c>
      <c r="K49" s="15">
        <f t="shared" si="19"/>
        <v>275700</v>
      </c>
      <c r="L49" s="15">
        <f t="shared" si="19"/>
        <v>230556.83</v>
      </c>
      <c r="M49" s="15">
        <f t="shared" si="8"/>
        <v>230556.83</v>
      </c>
      <c r="N49" s="15">
        <f t="shared" si="19"/>
        <v>0</v>
      </c>
      <c r="O49" s="15">
        <f t="shared" si="19"/>
        <v>0</v>
      </c>
      <c r="P49" s="15">
        <f t="shared" si="19"/>
        <v>0</v>
      </c>
      <c r="Q49" s="15">
        <f t="shared" si="19"/>
        <v>0</v>
      </c>
      <c r="R49" s="15">
        <f t="shared" si="3"/>
        <v>83.62598113891912</v>
      </c>
      <c r="S49" s="15">
        <f t="shared" si="4"/>
        <v>275700</v>
      </c>
      <c r="T49" s="15">
        <f t="shared" si="5"/>
        <v>275700</v>
      </c>
      <c r="U49" s="15">
        <f t="shared" si="6"/>
        <v>230556.83</v>
      </c>
      <c r="V49" s="15">
        <f t="shared" si="7"/>
        <v>83.62598113891912</v>
      </c>
    </row>
    <row r="50" spans="1:22" s="11" customFormat="1" ht="17.25" customHeight="1">
      <c r="A50" s="38" t="s">
        <v>52</v>
      </c>
      <c r="B50" s="39" t="s">
        <v>81</v>
      </c>
      <c r="C50" s="20">
        <v>0</v>
      </c>
      <c r="D50" s="20"/>
      <c r="E50" s="20"/>
      <c r="F50" s="20">
        <f t="shared" si="2"/>
        <v>0</v>
      </c>
      <c r="G50" s="20"/>
      <c r="H50" s="20"/>
      <c r="I50" s="33" t="e">
        <f t="shared" si="1"/>
        <v>#DIV/0!</v>
      </c>
      <c r="J50" s="20">
        <v>275700</v>
      </c>
      <c r="K50" s="32">
        <v>275700</v>
      </c>
      <c r="L50" s="20">
        <v>230556.83</v>
      </c>
      <c r="M50" s="15">
        <f t="shared" si="8"/>
        <v>230556.83</v>
      </c>
      <c r="N50" s="20"/>
      <c r="O50" s="20"/>
      <c r="P50" s="20"/>
      <c r="Q50" s="20"/>
      <c r="R50" s="20">
        <f t="shared" si="3"/>
        <v>83.62598113891912</v>
      </c>
      <c r="S50" s="15">
        <f t="shared" si="4"/>
        <v>275700</v>
      </c>
      <c r="T50" s="15">
        <f t="shared" si="5"/>
        <v>275700</v>
      </c>
      <c r="U50" s="15">
        <f t="shared" si="6"/>
        <v>230556.83</v>
      </c>
      <c r="V50" s="20">
        <f t="shared" si="7"/>
        <v>83.62598113891912</v>
      </c>
    </row>
    <row r="51" spans="1:22" s="21" customFormat="1" ht="14.25">
      <c r="A51" s="17" t="s">
        <v>82</v>
      </c>
      <c r="B51" s="19" t="s">
        <v>91</v>
      </c>
      <c r="C51" s="15">
        <f>C52</f>
        <v>88993121.7</v>
      </c>
      <c r="D51" s="15">
        <f aca="true" t="shared" si="20" ref="D51:Q51">D52</f>
        <v>88993121.7</v>
      </c>
      <c r="E51" s="15">
        <f>E52</f>
        <v>84895389.53000002</v>
      </c>
      <c r="F51" s="15">
        <f t="shared" si="2"/>
        <v>84895389.53000002</v>
      </c>
      <c r="G51" s="15">
        <f t="shared" si="20"/>
        <v>69390559.95</v>
      </c>
      <c r="H51" s="15">
        <f t="shared" si="20"/>
        <v>7946881.899999999</v>
      </c>
      <c r="I51" s="16">
        <f t="shared" si="1"/>
        <v>95.39545069133136</v>
      </c>
      <c r="J51" s="15">
        <f t="shared" si="20"/>
        <v>6899932.390000001</v>
      </c>
      <c r="K51" s="15">
        <f t="shared" si="20"/>
        <v>6899932.390000001</v>
      </c>
      <c r="L51" s="15">
        <f t="shared" si="20"/>
        <v>4746567.21</v>
      </c>
      <c r="M51" s="15">
        <f t="shared" si="8"/>
        <v>1153569.21</v>
      </c>
      <c r="N51" s="15">
        <f t="shared" si="20"/>
        <v>16974.559999999998</v>
      </c>
      <c r="O51" s="15">
        <f t="shared" si="20"/>
        <v>13875.75</v>
      </c>
      <c r="P51" s="15">
        <f>P52</f>
        <v>3592998</v>
      </c>
      <c r="Q51" s="15">
        <f t="shared" si="20"/>
        <v>3574999</v>
      </c>
      <c r="R51" s="15">
        <f t="shared" si="3"/>
        <v>68.79150318746818</v>
      </c>
      <c r="S51" s="15">
        <f t="shared" si="4"/>
        <v>95893054.09</v>
      </c>
      <c r="T51" s="15">
        <f t="shared" si="5"/>
        <v>95893054.09</v>
      </c>
      <c r="U51" s="15">
        <f t="shared" si="6"/>
        <v>89641956.74000001</v>
      </c>
      <c r="V51" s="15">
        <f t="shared" si="7"/>
        <v>93.48117816319308</v>
      </c>
    </row>
    <row r="52" spans="1:22" s="21" customFormat="1" ht="14.25">
      <c r="A52" s="17" t="s">
        <v>82</v>
      </c>
      <c r="B52" s="19" t="s">
        <v>92</v>
      </c>
      <c r="C52" s="15">
        <f>C53+C54+C55+C56+C57+C58+C59+C62+C64</f>
        <v>88993121.7</v>
      </c>
      <c r="D52" s="15">
        <f aca="true" t="shared" si="21" ref="D52:Q52">D53+D54+D55+D56+D57+D58+D59+D62+D64</f>
        <v>88993121.7</v>
      </c>
      <c r="E52" s="15">
        <f>E53+E54+E55+E56+E57+E58+E59+E62+E64</f>
        <v>84895389.53000002</v>
      </c>
      <c r="F52" s="15">
        <f t="shared" si="2"/>
        <v>84895389.53000002</v>
      </c>
      <c r="G52" s="15">
        <f t="shared" si="21"/>
        <v>69390559.95</v>
      </c>
      <c r="H52" s="15">
        <f t="shared" si="21"/>
        <v>7946881.899999999</v>
      </c>
      <c r="I52" s="16">
        <f t="shared" si="1"/>
        <v>95.39545069133136</v>
      </c>
      <c r="J52" s="15">
        <f t="shared" si="21"/>
        <v>6899932.390000001</v>
      </c>
      <c r="K52" s="15">
        <f t="shared" si="21"/>
        <v>6899932.390000001</v>
      </c>
      <c r="L52" s="15">
        <f t="shared" si="21"/>
        <v>4746567.21</v>
      </c>
      <c r="M52" s="15">
        <f t="shared" si="8"/>
        <v>1153569.21</v>
      </c>
      <c r="N52" s="15">
        <f t="shared" si="21"/>
        <v>16974.559999999998</v>
      </c>
      <c r="O52" s="15">
        <f t="shared" si="21"/>
        <v>13875.75</v>
      </c>
      <c r="P52" s="15">
        <f t="shared" si="21"/>
        <v>3592998</v>
      </c>
      <c r="Q52" s="15">
        <f t="shared" si="21"/>
        <v>3574999</v>
      </c>
      <c r="R52" s="15">
        <f t="shared" si="3"/>
        <v>68.79150318746818</v>
      </c>
      <c r="S52" s="15">
        <f t="shared" si="4"/>
        <v>95893054.09</v>
      </c>
      <c r="T52" s="15">
        <f t="shared" si="5"/>
        <v>95893054.09</v>
      </c>
      <c r="U52" s="15">
        <f t="shared" si="6"/>
        <v>89641956.74000001</v>
      </c>
      <c r="V52" s="15">
        <f t="shared" si="7"/>
        <v>93.48117816319308</v>
      </c>
    </row>
    <row r="53" spans="1:22" s="21" customFormat="1" ht="42.75">
      <c r="A53" s="17" t="s">
        <v>22</v>
      </c>
      <c r="B53" s="19" t="s">
        <v>93</v>
      </c>
      <c r="C53" s="15">
        <v>555262</v>
      </c>
      <c r="D53" s="15">
        <v>555262</v>
      </c>
      <c r="E53" s="15">
        <v>528178.67</v>
      </c>
      <c r="F53" s="15">
        <f t="shared" si="2"/>
        <v>528178.67</v>
      </c>
      <c r="G53" s="15">
        <f>401700.09+88374.05</f>
        <v>490074.14</v>
      </c>
      <c r="H53" s="15"/>
      <c r="I53" s="16">
        <f t="shared" si="1"/>
        <v>95.12242328846563</v>
      </c>
      <c r="J53" s="15">
        <v>0</v>
      </c>
      <c r="K53" s="31"/>
      <c r="L53" s="15">
        <v>0</v>
      </c>
      <c r="M53" s="15">
        <f t="shared" si="8"/>
        <v>0</v>
      </c>
      <c r="N53" s="15"/>
      <c r="O53" s="15"/>
      <c r="P53" s="15"/>
      <c r="Q53" s="15"/>
      <c r="R53" s="15" t="e">
        <f t="shared" si="3"/>
        <v>#DIV/0!</v>
      </c>
      <c r="S53" s="15">
        <f t="shared" si="4"/>
        <v>555262</v>
      </c>
      <c r="T53" s="15">
        <f t="shared" si="5"/>
        <v>555262</v>
      </c>
      <c r="U53" s="15">
        <f t="shared" si="6"/>
        <v>528178.67</v>
      </c>
      <c r="V53" s="15">
        <f t="shared" si="7"/>
        <v>95.12242328846563</v>
      </c>
    </row>
    <row r="54" spans="1:22" s="21" customFormat="1" ht="14.25">
      <c r="A54" s="17" t="s">
        <v>83</v>
      </c>
      <c r="B54" s="19" t="s">
        <v>94</v>
      </c>
      <c r="C54" s="15">
        <v>17559935</v>
      </c>
      <c r="D54" s="15">
        <v>17559935</v>
      </c>
      <c r="E54" s="15">
        <v>16498369.29</v>
      </c>
      <c r="F54" s="15">
        <f t="shared" si="2"/>
        <v>16498369.29</v>
      </c>
      <c r="G54" s="15">
        <f>9727378.41+2250489.97</f>
        <v>11977868.38</v>
      </c>
      <c r="H54" s="15">
        <f>264943.37+63493.7+552271.74+387023.15+348038</f>
        <v>1615769.96</v>
      </c>
      <c r="I54" s="16">
        <f t="shared" si="1"/>
        <v>93.95461480922339</v>
      </c>
      <c r="J54" s="15">
        <v>1245391.65</v>
      </c>
      <c r="K54" s="31">
        <v>1245391.65</v>
      </c>
      <c r="L54" s="15">
        <v>728540.86</v>
      </c>
      <c r="M54" s="15">
        <f t="shared" si="8"/>
        <v>625383.86</v>
      </c>
      <c r="N54" s="15"/>
      <c r="O54" s="15">
        <v>5675.25</v>
      </c>
      <c r="P54" s="15">
        <v>103157</v>
      </c>
      <c r="Q54" s="15">
        <v>95157</v>
      </c>
      <c r="R54" s="15">
        <f t="shared" si="3"/>
        <v>58.498935656104656</v>
      </c>
      <c r="S54" s="15">
        <f t="shared" si="4"/>
        <v>18805326.65</v>
      </c>
      <c r="T54" s="15">
        <f t="shared" si="5"/>
        <v>18805326.65</v>
      </c>
      <c r="U54" s="15">
        <f t="shared" si="6"/>
        <v>17226910.15</v>
      </c>
      <c r="V54" s="15">
        <f t="shared" si="7"/>
        <v>91.606545691138</v>
      </c>
    </row>
    <row r="55" spans="1:22" s="21" customFormat="1" ht="71.25">
      <c r="A55" s="17" t="s">
        <v>84</v>
      </c>
      <c r="B55" s="19" t="s">
        <v>95</v>
      </c>
      <c r="C55" s="15">
        <v>61058375</v>
      </c>
      <c r="D55" s="15">
        <v>61058375</v>
      </c>
      <c r="E55" s="15">
        <v>58362911.19</v>
      </c>
      <c r="F55" s="15">
        <f t="shared" si="2"/>
        <v>58362911.19</v>
      </c>
      <c r="G55" s="15">
        <f>39566040.67+8910350.06</f>
        <v>48476390.730000004</v>
      </c>
      <c r="H55" s="15">
        <f>2284384+37991.83+780142.03+1495741.28+1483292</f>
        <v>6081551.140000001</v>
      </c>
      <c r="I55" s="16">
        <f t="shared" si="1"/>
        <v>95.58543146619935</v>
      </c>
      <c r="J55" s="15">
        <v>1351767.3</v>
      </c>
      <c r="K55" s="31">
        <v>1351767.3</v>
      </c>
      <c r="L55" s="15">
        <v>874902.99</v>
      </c>
      <c r="M55" s="15">
        <f t="shared" si="8"/>
        <v>501062.49</v>
      </c>
      <c r="N55" s="15"/>
      <c r="O55" s="15">
        <v>8200.5</v>
      </c>
      <c r="P55" s="15">
        <v>373840.5</v>
      </c>
      <c r="Q55" s="15">
        <v>363841.5</v>
      </c>
      <c r="R55" s="15">
        <f t="shared" si="3"/>
        <v>64.72289942211206</v>
      </c>
      <c r="S55" s="15">
        <f t="shared" si="4"/>
        <v>62410142.3</v>
      </c>
      <c r="T55" s="15">
        <f t="shared" si="5"/>
        <v>62410142.3</v>
      </c>
      <c r="U55" s="15">
        <f t="shared" si="6"/>
        <v>59237814.18</v>
      </c>
      <c r="V55" s="15">
        <f t="shared" si="7"/>
        <v>94.91696701354901</v>
      </c>
    </row>
    <row r="56" spans="1:22" s="21" customFormat="1" ht="42.75">
      <c r="A56" s="17" t="s">
        <v>18</v>
      </c>
      <c r="B56" s="19" t="s">
        <v>96</v>
      </c>
      <c r="C56" s="15">
        <v>3009334.2</v>
      </c>
      <c r="D56" s="15">
        <v>3009334.2</v>
      </c>
      <c r="E56" s="15">
        <v>2907784.17</v>
      </c>
      <c r="F56" s="15">
        <f t="shared" si="2"/>
        <v>2907784.17</v>
      </c>
      <c r="G56" s="15">
        <f>2046559.31+478471.83</f>
        <v>2525031.14</v>
      </c>
      <c r="H56" s="15">
        <f>48414.95+3184.48+12641.06+79263.19</f>
        <v>143503.68</v>
      </c>
      <c r="I56" s="16">
        <f t="shared" si="1"/>
        <v>96.62549842420293</v>
      </c>
      <c r="J56" s="15">
        <v>6000</v>
      </c>
      <c r="K56" s="31">
        <v>6000</v>
      </c>
      <c r="L56" s="15">
        <v>6000</v>
      </c>
      <c r="M56" s="15">
        <f t="shared" si="8"/>
        <v>0</v>
      </c>
      <c r="N56" s="15"/>
      <c r="O56" s="15"/>
      <c r="P56" s="15">
        <v>6000</v>
      </c>
      <c r="Q56" s="15">
        <v>6000</v>
      </c>
      <c r="R56" s="15">
        <f t="shared" si="3"/>
        <v>100</v>
      </c>
      <c r="S56" s="15">
        <f t="shared" si="4"/>
        <v>3015334.2</v>
      </c>
      <c r="T56" s="15">
        <f t="shared" si="5"/>
        <v>3015334.2</v>
      </c>
      <c r="U56" s="15">
        <f t="shared" si="6"/>
        <v>2913784.17</v>
      </c>
      <c r="V56" s="15">
        <f t="shared" si="7"/>
        <v>96.63221310593035</v>
      </c>
    </row>
    <row r="57" spans="1:22" s="21" customFormat="1" ht="57">
      <c r="A57" s="17" t="s">
        <v>85</v>
      </c>
      <c r="B57" s="19" t="s">
        <v>97</v>
      </c>
      <c r="C57" s="15">
        <v>3133820</v>
      </c>
      <c r="D57" s="15">
        <v>3133820</v>
      </c>
      <c r="E57" s="15">
        <v>3047621.43</v>
      </c>
      <c r="F57" s="15">
        <f t="shared" si="2"/>
        <v>3047621.43</v>
      </c>
      <c r="G57" s="15">
        <f>2381243.27+525684.65</f>
        <v>2906927.92</v>
      </c>
      <c r="H57" s="15">
        <f>963.81+3062.9+91093.89</f>
        <v>95120.6</v>
      </c>
      <c r="I57" s="16">
        <f t="shared" si="1"/>
        <v>97.24940902795949</v>
      </c>
      <c r="J57" s="15">
        <v>46800.79</v>
      </c>
      <c r="K57" s="31">
        <v>46800.79</v>
      </c>
      <c r="L57" s="15">
        <v>41322.86</v>
      </c>
      <c r="M57" s="15">
        <f t="shared" si="8"/>
        <v>27122.86</v>
      </c>
      <c r="N57" s="15">
        <f>13913.57+3060.99</f>
        <v>16974.559999999998</v>
      </c>
      <c r="O57" s="15"/>
      <c r="P57" s="15">
        <v>14200</v>
      </c>
      <c r="Q57" s="15">
        <v>14200</v>
      </c>
      <c r="R57" s="15">
        <f t="shared" si="3"/>
        <v>88.29521894822716</v>
      </c>
      <c r="S57" s="15">
        <f t="shared" si="4"/>
        <v>3180620.79</v>
      </c>
      <c r="T57" s="15">
        <f t="shared" si="5"/>
        <v>3180620.79</v>
      </c>
      <c r="U57" s="15">
        <f t="shared" si="6"/>
        <v>3088944.29</v>
      </c>
      <c r="V57" s="15">
        <f t="shared" si="7"/>
        <v>97.1176538778771</v>
      </c>
    </row>
    <row r="58" spans="1:22" s="21" customFormat="1" ht="28.5">
      <c r="A58" s="17" t="s">
        <v>86</v>
      </c>
      <c r="B58" s="19" t="s">
        <v>98</v>
      </c>
      <c r="C58" s="15">
        <v>456842</v>
      </c>
      <c r="D58" s="15">
        <v>456842</v>
      </c>
      <c r="E58" s="15">
        <v>451723.39</v>
      </c>
      <c r="F58" s="15">
        <f t="shared" si="2"/>
        <v>451723.39</v>
      </c>
      <c r="G58" s="15">
        <f>344608.26+71858.21</f>
        <v>416466.47000000003</v>
      </c>
      <c r="H58" s="15">
        <v>1632.25</v>
      </c>
      <c r="I58" s="16">
        <f t="shared" si="1"/>
        <v>98.87956667731952</v>
      </c>
      <c r="J58" s="15">
        <v>47000</v>
      </c>
      <c r="K58" s="31">
        <v>47000</v>
      </c>
      <c r="L58" s="15">
        <v>47000</v>
      </c>
      <c r="M58" s="15">
        <f t="shared" si="8"/>
        <v>0</v>
      </c>
      <c r="N58" s="15"/>
      <c r="O58" s="15"/>
      <c r="P58" s="15">
        <v>47000</v>
      </c>
      <c r="Q58" s="15">
        <v>47000</v>
      </c>
      <c r="R58" s="15">
        <f t="shared" si="3"/>
        <v>100</v>
      </c>
      <c r="S58" s="15">
        <f t="shared" si="4"/>
        <v>503842</v>
      </c>
      <c r="T58" s="15">
        <f t="shared" si="5"/>
        <v>503842</v>
      </c>
      <c r="U58" s="15">
        <f t="shared" si="6"/>
        <v>498723.39</v>
      </c>
      <c r="V58" s="15">
        <f t="shared" si="7"/>
        <v>98.98408429626748</v>
      </c>
    </row>
    <row r="59" spans="1:22" s="21" customFormat="1" ht="14.25">
      <c r="A59" s="17" t="s">
        <v>87</v>
      </c>
      <c r="B59" s="19" t="s">
        <v>99</v>
      </c>
      <c r="C59" s="15">
        <f>C60+C61</f>
        <v>1912629.5</v>
      </c>
      <c r="D59" s="15">
        <f aca="true" t="shared" si="22" ref="D59:Q59">D60+D61</f>
        <v>1912629.5</v>
      </c>
      <c r="E59" s="15">
        <f>E60+E61</f>
        <v>1829198.68</v>
      </c>
      <c r="F59" s="15">
        <f t="shared" si="2"/>
        <v>1829198.68</v>
      </c>
      <c r="G59" s="15">
        <f t="shared" si="22"/>
        <v>1463617</v>
      </c>
      <c r="H59" s="15">
        <f t="shared" si="22"/>
        <v>9304.27</v>
      </c>
      <c r="I59" s="16">
        <f t="shared" si="1"/>
        <v>95.63789955137678</v>
      </c>
      <c r="J59" s="15">
        <f t="shared" si="22"/>
        <v>258450.5</v>
      </c>
      <c r="K59" s="15">
        <f t="shared" si="22"/>
        <v>258450.5</v>
      </c>
      <c r="L59" s="15">
        <f>L60+L61</f>
        <v>243457.5</v>
      </c>
      <c r="M59" s="15">
        <f t="shared" si="8"/>
        <v>0</v>
      </c>
      <c r="N59" s="15">
        <f t="shared" si="22"/>
        <v>0</v>
      </c>
      <c r="O59" s="15">
        <f t="shared" si="22"/>
        <v>0</v>
      </c>
      <c r="P59" s="15">
        <f t="shared" si="22"/>
        <v>243457.5</v>
      </c>
      <c r="Q59" s="15">
        <f t="shared" si="22"/>
        <v>243457.5</v>
      </c>
      <c r="R59" s="15">
        <f t="shared" si="3"/>
        <v>94.19888914898597</v>
      </c>
      <c r="S59" s="15">
        <f t="shared" si="4"/>
        <v>2171080</v>
      </c>
      <c r="T59" s="15">
        <f t="shared" si="5"/>
        <v>2171080</v>
      </c>
      <c r="U59" s="15">
        <f t="shared" si="6"/>
        <v>2072656.18</v>
      </c>
      <c r="V59" s="15">
        <f t="shared" si="7"/>
        <v>95.46659634836118</v>
      </c>
    </row>
    <row r="60" spans="1:22" s="11" customFormat="1" ht="30">
      <c r="A60" s="38" t="s">
        <v>88</v>
      </c>
      <c r="B60" s="39" t="s">
        <v>100</v>
      </c>
      <c r="C60" s="20">
        <v>1905389.5</v>
      </c>
      <c r="D60" s="20">
        <v>1905389.5</v>
      </c>
      <c r="E60" s="20">
        <v>1821958.68</v>
      </c>
      <c r="F60" s="20">
        <f t="shared" si="2"/>
        <v>1821958.68</v>
      </c>
      <c r="G60" s="20">
        <f>1197743.57+265873.43</f>
        <v>1463617</v>
      </c>
      <c r="H60" s="20">
        <f>4804.56+957.52+3542.19</f>
        <v>9304.27</v>
      </c>
      <c r="I60" s="33">
        <f t="shared" si="1"/>
        <v>95.62132466878819</v>
      </c>
      <c r="J60" s="20">
        <v>258450.5</v>
      </c>
      <c r="K60" s="32">
        <v>258450.5</v>
      </c>
      <c r="L60" s="20">
        <v>243457.5</v>
      </c>
      <c r="M60" s="15">
        <f t="shared" si="8"/>
        <v>0</v>
      </c>
      <c r="N60" s="20"/>
      <c r="O60" s="20"/>
      <c r="P60" s="20">
        <v>243457.5</v>
      </c>
      <c r="Q60" s="20">
        <v>243457.5</v>
      </c>
      <c r="R60" s="20">
        <f t="shared" si="3"/>
        <v>94.19888914898597</v>
      </c>
      <c r="S60" s="15">
        <f t="shared" si="4"/>
        <v>2163840</v>
      </c>
      <c r="T60" s="15">
        <f t="shared" si="5"/>
        <v>2163840</v>
      </c>
      <c r="U60" s="15">
        <f t="shared" si="6"/>
        <v>2065416.18</v>
      </c>
      <c r="V60" s="20">
        <f t="shared" si="7"/>
        <v>95.45142801685891</v>
      </c>
    </row>
    <row r="61" spans="1:22" s="11" customFormat="1" ht="15">
      <c r="A61" s="38" t="s">
        <v>89</v>
      </c>
      <c r="B61" s="39" t="s">
        <v>101</v>
      </c>
      <c r="C61" s="20">
        <v>7240</v>
      </c>
      <c r="D61" s="20">
        <v>7240</v>
      </c>
      <c r="E61" s="20">
        <v>7240</v>
      </c>
      <c r="F61" s="20">
        <f t="shared" si="2"/>
        <v>7240</v>
      </c>
      <c r="G61" s="20"/>
      <c r="H61" s="20"/>
      <c r="I61" s="33">
        <f t="shared" si="1"/>
        <v>100</v>
      </c>
      <c r="J61" s="20">
        <v>0</v>
      </c>
      <c r="K61" s="32"/>
      <c r="L61" s="20">
        <v>0</v>
      </c>
      <c r="M61" s="15">
        <f t="shared" si="8"/>
        <v>0</v>
      </c>
      <c r="N61" s="20"/>
      <c r="O61" s="20"/>
      <c r="P61" s="20"/>
      <c r="Q61" s="20"/>
      <c r="R61" s="20" t="e">
        <f t="shared" si="3"/>
        <v>#DIV/0!</v>
      </c>
      <c r="S61" s="15">
        <f t="shared" si="4"/>
        <v>7240</v>
      </c>
      <c r="T61" s="15">
        <f t="shared" si="5"/>
        <v>7240</v>
      </c>
      <c r="U61" s="15">
        <f t="shared" si="6"/>
        <v>7240</v>
      </c>
      <c r="V61" s="20">
        <f t="shared" si="7"/>
        <v>100</v>
      </c>
    </row>
    <row r="62" spans="1:22" s="21" customFormat="1" ht="28.5">
      <c r="A62" s="17" t="s">
        <v>90</v>
      </c>
      <c r="B62" s="19" t="s">
        <v>102</v>
      </c>
      <c r="C62" s="15">
        <f>C63</f>
        <v>1306924</v>
      </c>
      <c r="D62" s="15">
        <f aca="true" t="shared" si="23" ref="D62:Q62">D63</f>
        <v>1306924</v>
      </c>
      <c r="E62" s="15">
        <f>E63</f>
        <v>1269602.71</v>
      </c>
      <c r="F62" s="15">
        <f t="shared" si="2"/>
        <v>1269602.71</v>
      </c>
      <c r="G62" s="15">
        <f t="shared" si="23"/>
        <v>1134184.17</v>
      </c>
      <c r="H62" s="15">
        <f t="shared" si="23"/>
        <v>0</v>
      </c>
      <c r="I62" s="16">
        <f t="shared" si="1"/>
        <v>97.14434121647471</v>
      </c>
      <c r="J62" s="15">
        <f t="shared" si="23"/>
        <v>0</v>
      </c>
      <c r="K62" s="15">
        <f t="shared" si="23"/>
        <v>0</v>
      </c>
      <c r="L62" s="15">
        <f t="shared" si="23"/>
        <v>0</v>
      </c>
      <c r="M62" s="15">
        <f t="shared" si="8"/>
        <v>0</v>
      </c>
      <c r="N62" s="15">
        <f t="shared" si="23"/>
        <v>0</v>
      </c>
      <c r="O62" s="15">
        <f t="shared" si="23"/>
        <v>0</v>
      </c>
      <c r="P62" s="15">
        <f t="shared" si="23"/>
        <v>0</v>
      </c>
      <c r="Q62" s="15">
        <f t="shared" si="23"/>
        <v>0</v>
      </c>
      <c r="R62" s="15" t="e">
        <f t="shared" si="3"/>
        <v>#DIV/0!</v>
      </c>
      <c r="S62" s="15">
        <f t="shared" si="4"/>
        <v>1306924</v>
      </c>
      <c r="T62" s="15">
        <f t="shared" si="5"/>
        <v>1306924</v>
      </c>
      <c r="U62" s="15">
        <f t="shared" si="6"/>
        <v>1269602.71</v>
      </c>
      <c r="V62" s="15">
        <f t="shared" si="7"/>
        <v>97.14434121647471</v>
      </c>
    </row>
    <row r="63" spans="1:22" s="11" customFormat="1" ht="30">
      <c r="A63" s="38" t="s">
        <v>15</v>
      </c>
      <c r="B63" s="39" t="s">
        <v>103</v>
      </c>
      <c r="C63" s="20">
        <v>1306924</v>
      </c>
      <c r="D63" s="20">
        <v>1306924</v>
      </c>
      <c r="E63" s="20">
        <v>1269602.71</v>
      </c>
      <c r="F63" s="20">
        <f t="shared" si="2"/>
        <v>1269602.71</v>
      </c>
      <c r="G63" s="20">
        <f>927263.35+206920.82</f>
        <v>1134184.17</v>
      </c>
      <c r="H63" s="20"/>
      <c r="I63" s="33">
        <f t="shared" si="1"/>
        <v>97.14434121647471</v>
      </c>
      <c r="J63" s="20">
        <v>0</v>
      </c>
      <c r="K63" s="40"/>
      <c r="L63" s="20">
        <v>0</v>
      </c>
      <c r="M63" s="15">
        <f t="shared" si="8"/>
        <v>0</v>
      </c>
      <c r="N63" s="20"/>
      <c r="O63" s="20"/>
      <c r="P63" s="20"/>
      <c r="Q63" s="20"/>
      <c r="R63" s="20" t="e">
        <f t="shared" si="3"/>
        <v>#DIV/0!</v>
      </c>
      <c r="S63" s="15">
        <f t="shared" si="4"/>
        <v>1306924</v>
      </c>
      <c r="T63" s="15">
        <f t="shared" si="5"/>
        <v>1306924</v>
      </c>
      <c r="U63" s="15">
        <f t="shared" si="6"/>
        <v>1269602.71</v>
      </c>
      <c r="V63" s="20">
        <f t="shared" si="7"/>
        <v>97.14434121647471</v>
      </c>
    </row>
    <row r="64" spans="1:22" s="21" customFormat="1" ht="14.25">
      <c r="A64" s="17" t="s">
        <v>42</v>
      </c>
      <c r="B64" s="19" t="s">
        <v>104</v>
      </c>
      <c r="C64" s="15">
        <f>C66</f>
        <v>0</v>
      </c>
      <c r="D64" s="15">
        <f>D66</f>
        <v>0</v>
      </c>
      <c r="E64" s="15">
        <f>E66</f>
        <v>0</v>
      </c>
      <c r="F64" s="15">
        <f t="shared" si="2"/>
        <v>0</v>
      </c>
      <c r="G64" s="15">
        <f>G66</f>
        <v>0</v>
      </c>
      <c r="H64" s="15">
        <f>H66</f>
        <v>0</v>
      </c>
      <c r="I64" s="16" t="e">
        <f t="shared" si="1"/>
        <v>#DIV/0!</v>
      </c>
      <c r="J64" s="15">
        <f>J66+J65</f>
        <v>3944522.15</v>
      </c>
      <c r="K64" s="15">
        <f aca="true" t="shared" si="24" ref="K64:Q64">K66+K65</f>
        <v>3944522.15</v>
      </c>
      <c r="L64" s="15">
        <f t="shared" si="24"/>
        <v>2805343</v>
      </c>
      <c r="M64" s="15">
        <f t="shared" si="8"/>
        <v>0</v>
      </c>
      <c r="N64" s="15">
        <f t="shared" si="24"/>
        <v>0</v>
      </c>
      <c r="O64" s="15">
        <f t="shared" si="24"/>
        <v>0</v>
      </c>
      <c r="P64" s="15">
        <f t="shared" si="24"/>
        <v>2805343</v>
      </c>
      <c r="Q64" s="15">
        <f t="shared" si="24"/>
        <v>2805343</v>
      </c>
      <c r="R64" s="15">
        <f t="shared" si="3"/>
        <v>71.1199707675618</v>
      </c>
      <c r="S64" s="15">
        <f t="shared" si="4"/>
        <v>3944522.15</v>
      </c>
      <c r="T64" s="15">
        <f t="shared" si="5"/>
        <v>3944522.15</v>
      </c>
      <c r="U64" s="15">
        <f t="shared" si="6"/>
        <v>2805343</v>
      </c>
      <c r="V64" s="15">
        <f t="shared" si="7"/>
        <v>71.1199707675618</v>
      </c>
    </row>
    <row r="65" spans="1:22" s="11" customFormat="1" ht="45">
      <c r="A65" s="38" t="s">
        <v>149</v>
      </c>
      <c r="B65" s="39">
        <v>617361</v>
      </c>
      <c r="C65" s="20"/>
      <c r="D65" s="20"/>
      <c r="E65" s="20"/>
      <c r="F65" s="20"/>
      <c r="G65" s="20"/>
      <c r="H65" s="20"/>
      <c r="I65" s="33"/>
      <c r="J65" s="20">
        <v>1265000</v>
      </c>
      <c r="K65" s="20">
        <v>1265000</v>
      </c>
      <c r="L65" s="20">
        <v>981426.03</v>
      </c>
      <c r="M65" s="15">
        <f t="shared" si="8"/>
        <v>0</v>
      </c>
      <c r="N65" s="20"/>
      <c r="O65" s="20"/>
      <c r="P65" s="20">
        <v>981426.03</v>
      </c>
      <c r="Q65" s="20">
        <v>981426.03</v>
      </c>
      <c r="R65" s="20"/>
      <c r="S65" s="15">
        <f t="shared" si="4"/>
        <v>1265000</v>
      </c>
      <c r="T65" s="15">
        <f t="shared" si="5"/>
        <v>1265000</v>
      </c>
      <c r="U65" s="15">
        <f t="shared" si="6"/>
        <v>981426.03</v>
      </c>
      <c r="V65" s="20">
        <f>U65/T65*100</f>
        <v>77.58308537549408</v>
      </c>
    </row>
    <row r="66" spans="1:22" s="11" customFormat="1" ht="45">
      <c r="A66" s="38" t="s">
        <v>43</v>
      </c>
      <c r="B66" s="39" t="s">
        <v>105</v>
      </c>
      <c r="C66" s="20">
        <v>0</v>
      </c>
      <c r="D66" s="20">
        <v>0</v>
      </c>
      <c r="E66" s="20">
        <v>0</v>
      </c>
      <c r="F66" s="20">
        <f t="shared" si="2"/>
        <v>0</v>
      </c>
      <c r="G66" s="20"/>
      <c r="H66" s="20"/>
      <c r="I66" s="33" t="e">
        <f t="shared" si="1"/>
        <v>#DIV/0!</v>
      </c>
      <c r="J66" s="20">
        <v>2679522.15</v>
      </c>
      <c r="K66" s="32">
        <v>2679522.15</v>
      </c>
      <c r="L66" s="20">
        <v>1823916.97</v>
      </c>
      <c r="M66" s="15">
        <f t="shared" si="8"/>
        <v>0</v>
      </c>
      <c r="N66" s="20"/>
      <c r="O66" s="20"/>
      <c r="P66" s="20">
        <v>1823916.97</v>
      </c>
      <c r="Q66" s="20">
        <v>1823916.97</v>
      </c>
      <c r="R66" s="20">
        <f t="shared" si="3"/>
        <v>68.06874016697343</v>
      </c>
      <c r="S66" s="15">
        <f t="shared" si="4"/>
        <v>2679522.15</v>
      </c>
      <c r="T66" s="15">
        <f t="shared" si="5"/>
        <v>2679522.15</v>
      </c>
      <c r="U66" s="15">
        <f t="shared" si="6"/>
        <v>1823916.97</v>
      </c>
      <c r="V66" s="20">
        <f t="shared" si="7"/>
        <v>68.06874016697343</v>
      </c>
    </row>
    <row r="67" spans="1:22" s="21" customFormat="1" ht="14.25">
      <c r="A67" s="17" t="s">
        <v>106</v>
      </c>
      <c r="B67" s="19" t="s">
        <v>117</v>
      </c>
      <c r="C67" s="15">
        <f>C68</f>
        <v>7960787</v>
      </c>
      <c r="D67" s="15">
        <f aca="true" t="shared" si="25" ref="D67:Q67">D68</f>
        <v>7960787</v>
      </c>
      <c r="E67" s="15">
        <f>E68</f>
        <v>7783757.649999999</v>
      </c>
      <c r="F67" s="15">
        <f t="shared" si="2"/>
        <v>7783757.649999999</v>
      </c>
      <c r="G67" s="15">
        <f t="shared" si="25"/>
        <v>5277094.96</v>
      </c>
      <c r="H67" s="15">
        <f t="shared" si="25"/>
        <v>970732.14</v>
      </c>
      <c r="I67" s="16">
        <f t="shared" si="1"/>
        <v>97.77623305334006</v>
      </c>
      <c r="J67" s="15">
        <f t="shared" si="25"/>
        <v>1076977.5</v>
      </c>
      <c r="K67" s="15">
        <f t="shared" si="25"/>
        <v>1076977.5</v>
      </c>
      <c r="L67" s="15">
        <f t="shared" si="25"/>
        <v>976160</v>
      </c>
      <c r="M67" s="15">
        <f t="shared" si="8"/>
        <v>301689.43999999994</v>
      </c>
      <c r="N67" s="15">
        <f t="shared" si="25"/>
        <v>63181.61</v>
      </c>
      <c r="O67" s="15">
        <f t="shared" si="25"/>
        <v>0</v>
      </c>
      <c r="P67" s="15">
        <f t="shared" si="25"/>
        <v>674470.56</v>
      </c>
      <c r="Q67" s="15">
        <f t="shared" si="25"/>
        <v>658620.56</v>
      </c>
      <c r="R67" s="15">
        <f t="shared" si="3"/>
        <v>90.63884807249919</v>
      </c>
      <c r="S67" s="15">
        <f t="shared" si="4"/>
        <v>9037764.5</v>
      </c>
      <c r="T67" s="15">
        <f t="shared" si="5"/>
        <v>9037764.5</v>
      </c>
      <c r="U67" s="15">
        <f t="shared" si="6"/>
        <v>8759917.649999999</v>
      </c>
      <c r="V67" s="15">
        <f t="shared" si="7"/>
        <v>96.92571265825745</v>
      </c>
    </row>
    <row r="68" spans="1:22" s="21" customFormat="1" ht="28.5">
      <c r="A68" s="17" t="s">
        <v>107</v>
      </c>
      <c r="B68" s="19" t="s">
        <v>118</v>
      </c>
      <c r="C68" s="15">
        <f aca="true" t="shared" si="26" ref="C68:H68">C69+C71+C72+C73+C70</f>
        <v>7960787</v>
      </c>
      <c r="D68" s="15">
        <f t="shared" si="26"/>
        <v>7960787</v>
      </c>
      <c r="E68" s="15">
        <f t="shared" si="26"/>
        <v>7783757.649999999</v>
      </c>
      <c r="F68" s="15">
        <f t="shared" si="26"/>
        <v>7783757.649999999</v>
      </c>
      <c r="G68" s="15">
        <f t="shared" si="26"/>
        <v>5277094.96</v>
      </c>
      <c r="H68" s="15">
        <f t="shared" si="26"/>
        <v>970732.14</v>
      </c>
      <c r="I68" s="16">
        <f t="shared" si="1"/>
        <v>97.77623305334006</v>
      </c>
      <c r="J68" s="15">
        <f>J69+J71+J72+J73+J76</f>
        <v>1076977.5</v>
      </c>
      <c r="K68" s="15">
        <f>K69+K71+K72+K73+K76</f>
        <v>1076977.5</v>
      </c>
      <c r="L68" s="15">
        <f>L69+L71+L72+L73+L76</f>
        <v>976160</v>
      </c>
      <c r="M68" s="15">
        <f t="shared" si="8"/>
        <v>301689.43999999994</v>
      </c>
      <c r="N68" s="15">
        <f>N69+N71+N72+N73</f>
        <v>63181.61</v>
      </c>
      <c r="O68" s="15">
        <f>O69+O71+O72+O73</f>
        <v>0</v>
      </c>
      <c r="P68" s="15">
        <f>P69+P71+P72+P73+P76</f>
        <v>674470.56</v>
      </c>
      <c r="Q68" s="15">
        <f>Q69+Q71+Q72+Q73+Q76</f>
        <v>658620.56</v>
      </c>
      <c r="R68" s="15">
        <f t="shared" si="3"/>
        <v>90.63884807249919</v>
      </c>
      <c r="S68" s="15">
        <f t="shared" si="4"/>
        <v>9037764.5</v>
      </c>
      <c r="T68" s="15">
        <f t="shared" si="5"/>
        <v>9037764.5</v>
      </c>
      <c r="U68" s="15">
        <f t="shared" si="6"/>
        <v>8759917.649999999</v>
      </c>
      <c r="V68" s="15">
        <f t="shared" si="7"/>
        <v>96.92571265825745</v>
      </c>
    </row>
    <row r="69" spans="1:22" s="21" customFormat="1" ht="42.75">
      <c r="A69" s="17" t="s">
        <v>22</v>
      </c>
      <c r="B69" s="19" t="s">
        <v>119</v>
      </c>
      <c r="C69" s="15">
        <v>529131</v>
      </c>
      <c r="D69" s="15">
        <v>529131</v>
      </c>
      <c r="E69" s="15">
        <v>517566.21</v>
      </c>
      <c r="F69" s="15">
        <f t="shared" si="2"/>
        <v>517566.21</v>
      </c>
      <c r="G69" s="15">
        <f>342446.54+82327.19</f>
        <v>424773.73</v>
      </c>
      <c r="H69" s="15">
        <f>10000+42.64+2457.74</f>
        <v>12500.38</v>
      </c>
      <c r="I69" s="16">
        <f t="shared" si="1"/>
        <v>97.81438055982356</v>
      </c>
      <c r="J69" s="15">
        <v>50969</v>
      </c>
      <c r="K69" s="16">
        <v>50969</v>
      </c>
      <c r="L69" s="15">
        <v>50969</v>
      </c>
      <c r="M69" s="15">
        <f t="shared" si="8"/>
        <v>0</v>
      </c>
      <c r="N69" s="15"/>
      <c r="O69" s="15"/>
      <c r="P69" s="15">
        <v>50969</v>
      </c>
      <c r="Q69" s="15">
        <v>50969</v>
      </c>
      <c r="R69" s="15">
        <f t="shared" si="3"/>
        <v>100</v>
      </c>
      <c r="S69" s="15">
        <f t="shared" si="4"/>
        <v>580100</v>
      </c>
      <c r="T69" s="15">
        <f t="shared" si="5"/>
        <v>580100</v>
      </c>
      <c r="U69" s="15">
        <f t="shared" si="6"/>
        <v>568535.21</v>
      </c>
      <c r="V69" s="15">
        <f t="shared" si="7"/>
        <v>98.00641441130838</v>
      </c>
    </row>
    <row r="70" spans="1:22" s="21" customFormat="1" ht="14.25">
      <c r="A70" s="17" t="s">
        <v>152</v>
      </c>
      <c r="B70" s="19">
        <v>1014030</v>
      </c>
      <c r="C70" s="15">
        <v>9707</v>
      </c>
      <c r="D70" s="15">
        <v>9707</v>
      </c>
      <c r="E70" s="15">
        <v>9605.85</v>
      </c>
      <c r="F70" s="15">
        <f t="shared" si="2"/>
        <v>9605.85</v>
      </c>
      <c r="G70" s="15">
        <f>7365.45+1620.4</f>
        <v>8985.85</v>
      </c>
      <c r="H70" s="15"/>
      <c r="I70" s="16">
        <f t="shared" si="1"/>
        <v>98.95796847635727</v>
      </c>
      <c r="J70" s="15"/>
      <c r="K70" s="16"/>
      <c r="L70" s="15"/>
      <c r="M70" s="15">
        <f t="shared" si="8"/>
        <v>0</v>
      </c>
      <c r="N70" s="15"/>
      <c r="O70" s="15"/>
      <c r="P70" s="15"/>
      <c r="Q70" s="15"/>
      <c r="R70" s="15"/>
      <c r="S70" s="15">
        <f t="shared" si="4"/>
        <v>9707</v>
      </c>
      <c r="T70" s="15">
        <f t="shared" si="5"/>
        <v>9707</v>
      </c>
      <c r="U70" s="15">
        <f t="shared" si="6"/>
        <v>9605.85</v>
      </c>
      <c r="V70" s="15">
        <f t="shared" si="7"/>
        <v>98.95796847635727</v>
      </c>
    </row>
    <row r="71" spans="1:22" s="21" customFormat="1" ht="14.25">
      <c r="A71" s="17" t="s">
        <v>108</v>
      </c>
      <c r="B71" s="19" t="s">
        <v>120</v>
      </c>
      <c r="C71" s="15">
        <v>293795</v>
      </c>
      <c r="D71" s="15">
        <v>293795</v>
      </c>
      <c r="E71" s="15">
        <v>287031.41</v>
      </c>
      <c r="F71" s="15">
        <f t="shared" si="2"/>
        <v>287031.41</v>
      </c>
      <c r="G71" s="15">
        <f>204474.24+51093.73</f>
        <v>255567.97</v>
      </c>
      <c r="H71" s="15">
        <f>2563.76+10000</f>
        <v>12563.76</v>
      </c>
      <c r="I71" s="16">
        <f t="shared" si="1"/>
        <v>97.69785394577852</v>
      </c>
      <c r="J71" s="15">
        <v>4000</v>
      </c>
      <c r="K71" s="34">
        <v>4000</v>
      </c>
      <c r="L71" s="15">
        <v>3003.16</v>
      </c>
      <c r="M71" s="15">
        <f t="shared" si="8"/>
        <v>3003.16</v>
      </c>
      <c r="N71" s="15"/>
      <c r="O71" s="15"/>
      <c r="P71" s="15"/>
      <c r="Q71" s="15"/>
      <c r="R71" s="15">
        <f t="shared" si="3"/>
        <v>75.079</v>
      </c>
      <c r="S71" s="15">
        <f t="shared" si="4"/>
        <v>297795</v>
      </c>
      <c r="T71" s="15">
        <f t="shared" si="5"/>
        <v>297795</v>
      </c>
      <c r="U71" s="15">
        <f t="shared" si="6"/>
        <v>290034.56999999995</v>
      </c>
      <c r="V71" s="15">
        <f t="shared" si="7"/>
        <v>97.39403616581875</v>
      </c>
    </row>
    <row r="72" spans="1:22" s="21" customFormat="1" ht="42.75">
      <c r="A72" s="17" t="s">
        <v>109</v>
      </c>
      <c r="B72" s="19" t="s">
        <v>121</v>
      </c>
      <c r="C72" s="15">
        <v>6091062</v>
      </c>
      <c r="D72" s="15">
        <v>6091062</v>
      </c>
      <c r="E72" s="15">
        <v>5942692.8</v>
      </c>
      <c r="F72" s="15">
        <f t="shared" si="2"/>
        <v>5942692.8</v>
      </c>
      <c r="G72" s="15">
        <f>3312645.25+800440.58</f>
        <v>4113085.83</v>
      </c>
      <c r="H72" s="15">
        <f>665061.34+14415.83+141058.57+115000</f>
        <v>935535.74</v>
      </c>
      <c r="I72" s="16">
        <f t="shared" si="1"/>
        <v>97.56414891196313</v>
      </c>
      <c r="J72" s="15">
        <v>737616.5</v>
      </c>
      <c r="K72" s="35">
        <v>737616.5</v>
      </c>
      <c r="L72" s="15">
        <v>680280.48</v>
      </c>
      <c r="M72" s="15">
        <f t="shared" si="8"/>
        <v>298686.27999999997</v>
      </c>
      <c r="N72" s="15">
        <f>40618.11+22563.5</f>
        <v>63181.61</v>
      </c>
      <c r="O72" s="15"/>
      <c r="P72" s="15">
        <v>381594.2</v>
      </c>
      <c r="Q72" s="15">
        <v>365744.2</v>
      </c>
      <c r="R72" s="15">
        <f t="shared" si="3"/>
        <v>92.22685230061963</v>
      </c>
      <c r="S72" s="15">
        <f t="shared" si="4"/>
        <v>6828678.5</v>
      </c>
      <c r="T72" s="15">
        <f t="shared" si="5"/>
        <v>6828678.5</v>
      </c>
      <c r="U72" s="15">
        <f t="shared" si="6"/>
        <v>6622973.279999999</v>
      </c>
      <c r="V72" s="15">
        <f t="shared" si="7"/>
        <v>96.98762769399671</v>
      </c>
    </row>
    <row r="73" spans="1:22" s="21" customFormat="1" ht="28.5">
      <c r="A73" s="17" t="s">
        <v>110</v>
      </c>
      <c r="B73" s="19" t="s">
        <v>122</v>
      </c>
      <c r="C73" s="15">
        <f>C74+C75</f>
        <v>1037092</v>
      </c>
      <c r="D73" s="15">
        <f aca="true" t="shared" si="27" ref="D73:Q73">D74+D75</f>
        <v>1037092</v>
      </c>
      <c r="E73" s="15">
        <f>E74+E75</f>
        <v>1026861.38</v>
      </c>
      <c r="F73" s="15">
        <f t="shared" si="2"/>
        <v>1026861.38</v>
      </c>
      <c r="G73" s="15">
        <f t="shared" si="27"/>
        <v>474681.58</v>
      </c>
      <c r="H73" s="15">
        <f>H74+H75</f>
        <v>10132.26</v>
      </c>
      <c r="I73" s="16">
        <f t="shared" si="1"/>
        <v>99.01352821157622</v>
      </c>
      <c r="J73" s="15">
        <f t="shared" si="27"/>
        <v>40400</v>
      </c>
      <c r="K73" s="15">
        <f t="shared" si="27"/>
        <v>40400</v>
      </c>
      <c r="L73" s="15">
        <f t="shared" si="27"/>
        <v>40400</v>
      </c>
      <c r="M73" s="15">
        <f t="shared" si="8"/>
        <v>0</v>
      </c>
      <c r="N73" s="15">
        <f t="shared" si="27"/>
        <v>0</v>
      </c>
      <c r="O73" s="15">
        <f t="shared" si="27"/>
        <v>0</v>
      </c>
      <c r="P73" s="15">
        <f t="shared" si="27"/>
        <v>40400</v>
      </c>
      <c r="Q73" s="15">
        <f t="shared" si="27"/>
        <v>40400</v>
      </c>
      <c r="R73" s="15">
        <f t="shared" si="3"/>
        <v>100</v>
      </c>
      <c r="S73" s="15">
        <f t="shared" si="4"/>
        <v>1077492</v>
      </c>
      <c r="T73" s="15">
        <f t="shared" si="5"/>
        <v>1077492</v>
      </c>
      <c r="U73" s="15">
        <f t="shared" si="6"/>
        <v>1067261.38</v>
      </c>
      <c r="V73" s="15">
        <f t="shared" si="7"/>
        <v>99.05051545626323</v>
      </c>
    </row>
    <row r="74" spans="1:22" s="11" customFormat="1" ht="30">
      <c r="A74" s="38" t="s">
        <v>111</v>
      </c>
      <c r="B74" s="39" t="s">
        <v>123</v>
      </c>
      <c r="C74" s="20">
        <v>566092</v>
      </c>
      <c r="D74" s="20">
        <v>566092</v>
      </c>
      <c r="E74" s="20">
        <v>555861.38</v>
      </c>
      <c r="F74" s="20">
        <f t="shared" si="2"/>
        <v>555861.38</v>
      </c>
      <c r="G74" s="20">
        <f>387412.37+87269.21</f>
        <v>474681.58</v>
      </c>
      <c r="H74" s="20">
        <f>8000+36.86+2095.4</f>
        <v>10132.26</v>
      </c>
      <c r="I74" s="33">
        <f t="shared" si="1"/>
        <v>98.19276372038466</v>
      </c>
      <c r="J74" s="20">
        <v>40400</v>
      </c>
      <c r="K74" s="36">
        <v>40400</v>
      </c>
      <c r="L74" s="20">
        <v>40400</v>
      </c>
      <c r="M74" s="15">
        <f t="shared" si="8"/>
        <v>0</v>
      </c>
      <c r="N74" s="20"/>
      <c r="O74" s="20"/>
      <c r="P74" s="20">
        <v>40400</v>
      </c>
      <c r="Q74" s="20">
        <v>40400</v>
      </c>
      <c r="R74" s="20">
        <f t="shared" si="3"/>
        <v>100</v>
      </c>
      <c r="S74" s="15">
        <f t="shared" si="4"/>
        <v>606492</v>
      </c>
      <c r="T74" s="15">
        <f t="shared" si="5"/>
        <v>606492</v>
      </c>
      <c r="U74" s="15">
        <f t="shared" si="6"/>
        <v>596261.38</v>
      </c>
      <c r="V74" s="20">
        <f t="shared" si="7"/>
        <v>98.31314840096819</v>
      </c>
    </row>
    <row r="75" spans="1:22" s="11" customFormat="1" ht="15">
      <c r="A75" s="38" t="s">
        <v>112</v>
      </c>
      <c r="B75" s="39" t="s">
        <v>124</v>
      </c>
      <c r="C75" s="20">
        <v>471000</v>
      </c>
      <c r="D75" s="20">
        <v>471000</v>
      </c>
      <c r="E75" s="20">
        <v>471000</v>
      </c>
      <c r="F75" s="20">
        <f t="shared" si="2"/>
        <v>471000</v>
      </c>
      <c r="G75" s="20"/>
      <c r="H75" s="20"/>
      <c r="I75" s="33">
        <f t="shared" si="1"/>
        <v>100</v>
      </c>
      <c r="J75" s="20">
        <v>0</v>
      </c>
      <c r="K75" s="41"/>
      <c r="L75" s="20">
        <v>0</v>
      </c>
      <c r="M75" s="15">
        <f t="shared" si="8"/>
        <v>0</v>
      </c>
      <c r="N75" s="20"/>
      <c r="O75" s="20"/>
      <c r="P75" s="20"/>
      <c r="Q75" s="20"/>
      <c r="R75" s="20" t="e">
        <f t="shared" si="3"/>
        <v>#DIV/0!</v>
      </c>
      <c r="S75" s="15">
        <f t="shared" si="4"/>
        <v>471000</v>
      </c>
      <c r="T75" s="15">
        <f t="shared" si="5"/>
        <v>471000</v>
      </c>
      <c r="U75" s="15">
        <f t="shared" si="6"/>
        <v>471000</v>
      </c>
      <c r="V75" s="20">
        <f t="shared" si="7"/>
        <v>100</v>
      </c>
    </row>
    <row r="76" spans="1:22" s="21" customFormat="1" ht="42.75">
      <c r="A76" s="17" t="s">
        <v>43</v>
      </c>
      <c r="B76" s="19">
        <v>1017363</v>
      </c>
      <c r="C76" s="15"/>
      <c r="D76" s="15"/>
      <c r="E76" s="15"/>
      <c r="F76" s="15"/>
      <c r="G76" s="15"/>
      <c r="H76" s="15"/>
      <c r="I76" s="16"/>
      <c r="J76" s="15">
        <v>243992</v>
      </c>
      <c r="K76" s="52">
        <v>243992</v>
      </c>
      <c r="L76" s="15">
        <v>201507.36</v>
      </c>
      <c r="M76" s="15">
        <f t="shared" si="8"/>
        <v>0</v>
      </c>
      <c r="N76" s="15"/>
      <c r="O76" s="15"/>
      <c r="P76" s="15">
        <v>201507.36</v>
      </c>
      <c r="Q76" s="15">
        <v>201507.36</v>
      </c>
      <c r="R76" s="20">
        <f t="shared" si="3"/>
        <v>82.58769139971803</v>
      </c>
      <c r="S76" s="15">
        <f t="shared" si="4"/>
        <v>243992</v>
      </c>
      <c r="T76" s="15">
        <f t="shared" si="5"/>
        <v>243992</v>
      </c>
      <c r="U76" s="15">
        <f t="shared" si="6"/>
        <v>201507.36</v>
      </c>
      <c r="V76" s="20">
        <f t="shared" si="7"/>
        <v>82.58769139971803</v>
      </c>
    </row>
    <row r="77" spans="1:22" s="21" customFormat="1" ht="15">
      <c r="A77" s="17" t="s">
        <v>113</v>
      </c>
      <c r="B77" s="19" t="s">
        <v>125</v>
      </c>
      <c r="C77" s="15">
        <f>C78</f>
        <v>37042092</v>
      </c>
      <c r="D77" s="15">
        <f aca="true" t="shared" si="28" ref="D77:Q77">D78</f>
        <v>37042092</v>
      </c>
      <c r="E77" s="15">
        <f>E78</f>
        <v>36381195.35</v>
      </c>
      <c r="F77" s="15">
        <f t="shared" si="2"/>
        <v>36381195.35</v>
      </c>
      <c r="G77" s="15">
        <f t="shared" si="28"/>
        <v>777997.6699999999</v>
      </c>
      <c r="H77" s="15">
        <f t="shared" si="28"/>
        <v>0</v>
      </c>
      <c r="I77" s="16">
        <f t="shared" si="1"/>
        <v>98.21582255667418</v>
      </c>
      <c r="J77" s="15">
        <f t="shared" si="28"/>
        <v>10000</v>
      </c>
      <c r="K77" s="15">
        <f t="shared" si="28"/>
        <v>10000</v>
      </c>
      <c r="L77" s="15">
        <f t="shared" si="28"/>
        <v>9873</v>
      </c>
      <c r="M77" s="15">
        <f t="shared" si="8"/>
        <v>0</v>
      </c>
      <c r="N77" s="15">
        <f t="shared" si="28"/>
        <v>0</v>
      </c>
      <c r="O77" s="15">
        <f t="shared" si="28"/>
        <v>0</v>
      </c>
      <c r="P77" s="15">
        <f t="shared" si="28"/>
        <v>9873</v>
      </c>
      <c r="Q77" s="15">
        <f t="shared" si="28"/>
        <v>9873</v>
      </c>
      <c r="R77" s="20">
        <f t="shared" si="3"/>
        <v>98.72999999999999</v>
      </c>
      <c r="S77" s="15">
        <f t="shared" si="4"/>
        <v>37052092</v>
      </c>
      <c r="T77" s="15">
        <f t="shared" si="5"/>
        <v>37052092</v>
      </c>
      <c r="U77" s="15">
        <f t="shared" si="6"/>
        <v>36391068.35</v>
      </c>
      <c r="V77" s="15">
        <f t="shared" si="7"/>
        <v>98.21596132817548</v>
      </c>
    </row>
    <row r="78" spans="1:22" s="21" customFormat="1" ht="14.25">
      <c r="A78" s="17" t="s">
        <v>114</v>
      </c>
      <c r="B78" s="19" t="s">
        <v>126</v>
      </c>
      <c r="C78" s="15">
        <f>C79+C80+C81+C83+C82</f>
        <v>37042092</v>
      </c>
      <c r="D78" s="15">
        <f>D79+D80+D81+D83+D82</f>
        <v>37042092</v>
      </c>
      <c r="E78" s="15">
        <f>E79+E80+E81+E83</f>
        <v>36381195.35</v>
      </c>
      <c r="F78" s="15">
        <f t="shared" si="2"/>
        <v>36381195.35</v>
      </c>
      <c r="G78" s="15">
        <f>G79+G80+G81+G83</f>
        <v>777997.6699999999</v>
      </c>
      <c r="H78" s="15">
        <f>H79+H80+H81+H83</f>
        <v>0</v>
      </c>
      <c r="I78" s="16">
        <f t="shared" si="1"/>
        <v>98.21582255667418</v>
      </c>
      <c r="J78" s="15">
        <f>J79+J80+J81+J83</f>
        <v>10000</v>
      </c>
      <c r="K78" s="15">
        <f>K79+K80+K81+K83</f>
        <v>10000</v>
      </c>
      <c r="L78" s="15">
        <f>L79</f>
        <v>9873</v>
      </c>
      <c r="M78" s="15">
        <f t="shared" si="8"/>
        <v>0</v>
      </c>
      <c r="N78" s="15">
        <f>N79+N80+N81+N83</f>
        <v>0</v>
      </c>
      <c r="O78" s="15">
        <f>O79+O80+O81+O83</f>
        <v>0</v>
      </c>
      <c r="P78" s="15">
        <f>P79+P80+P81+P83</f>
        <v>9873</v>
      </c>
      <c r="Q78" s="15">
        <f>Q79+Q80+Q81+Q83</f>
        <v>9873</v>
      </c>
      <c r="R78" s="15">
        <f t="shared" si="3"/>
        <v>98.72999999999999</v>
      </c>
      <c r="S78" s="15">
        <f aca="true" t="shared" si="29" ref="S78:S83">C78+J78</f>
        <v>37052092</v>
      </c>
      <c r="T78" s="15">
        <f aca="true" t="shared" si="30" ref="T78:T83">D78+K78</f>
        <v>37052092</v>
      </c>
      <c r="U78" s="15">
        <f aca="true" t="shared" si="31" ref="U78:U83">E78+L78</f>
        <v>36391068.35</v>
      </c>
      <c r="V78" s="15">
        <f t="shared" si="7"/>
        <v>98.21596132817548</v>
      </c>
    </row>
    <row r="79" spans="1:22" s="21" customFormat="1" ht="42.75">
      <c r="A79" s="17" t="s">
        <v>22</v>
      </c>
      <c r="B79" s="19" t="s">
        <v>127</v>
      </c>
      <c r="C79" s="15">
        <v>868200</v>
      </c>
      <c r="D79" s="15">
        <v>868200</v>
      </c>
      <c r="E79" s="15">
        <v>859247.52</v>
      </c>
      <c r="F79" s="15">
        <f t="shared" si="2"/>
        <v>859247.52</v>
      </c>
      <c r="G79" s="15">
        <f>637702.99+140294.68</f>
        <v>777997.6699999999</v>
      </c>
      <c r="H79" s="15"/>
      <c r="I79" s="16">
        <f t="shared" si="1"/>
        <v>98.96884588804423</v>
      </c>
      <c r="J79" s="15">
        <v>10000</v>
      </c>
      <c r="K79" s="37">
        <v>10000</v>
      </c>
      <c r="L79" s="15">
        <v>9873</v>
      </c>
      <c r="M79" s="15">
        <f>L79-P79</f>
        <v>0</v>
      </c>
      <c r="N79" s="15"/>
      <c r="O79" s="15"/>
      <c r="P79" s="15">
        <v>9873</v>
      </c>
      <c r="Q79" s="15">
        <v>9873</v>
      </c>
      <c r="R79" s="15">
        <f t="shared" si="3"/>
        <v>98.72999999999999</v>
      </c>
      <c r="S79" s="15">
        <f t="shared" si="29"/>
        <v>878200</v>
      </c>
      <c r="T79" s="15">
        <f t="shared" si="30"/>
        <v>878200</v>
      </c>
      <c r="U79" s="15">
        <f t="shared" si="31"/>
        <v>869120.52</v>
      </c>
      <c r="V79" s="15">
        <f t="shared" si="7"/>
        <v>98.96612616716011</v>
      </c>
    </row>
    <row r="80" spans="1:22" s="21" customFormat="1" ht="14.25">
      <c r="A80" s="17" t="s">
        <v>16</v>
      </c>
      <c r="B80" s="19" t="s">
        <v>128</v>
      </c>
      <c r="C80" s="15">
        <v>0</v>
      </c>
      <c r="D80" s="15">
        <v>0</v>
      </c>
      <c r="E80" s="15">
        <v>0</v>
      </c>
      <c r="F80" s="15">
        <f t="shared" si="2"/>
        <v>0</v>
      </c>
      <c r="G80" s="15"/>
      <c r="H80" s="15"/>
      <c r="I80" s="16" t="e">
        <f t="shared" si="1"/>
        <v>#DIV/0!</v>
      </c>
      <c r="J80" s="15">
        <v>0</v>
      </c>
      <c r="K80" s="42"/>
      <c r="L80" s="15">
        <v>0</v>
      </c>
      <c r="M80" s="15">
        <f>L80-P80</f>
        <v>0</v>
      </c>
      <c r="N80" s="15"/>
      <c r="O80" s="15"/>
      <c r="P80" s="15"/>
      <c r="Q80" s="15"/>
      <c r="R80" s="15" t="e">
        <f t="shared" si="3"/>
        <v>#DIV/0!</v>
      </c>
      <c r="S80" s="15">
        <f t="shared" si="29"/>
        <v>0</v>
      </c>
      <c r="T80" s="15">
        <f t="shared" si="30"/>
        <v>0</v>
      </c>
      <c r="U80" s="15">
        <f t="shared" si="31"/>
        <v>0</v>
      </c>
      <c r="V80" s="15" t="e">
        <f t="shared" si="7"/>
        <v>#DIV/0!</v>
      </c>
    </row>
    <row r="81" spans="1:22" s="21" customFormat="1" ht="42.75">
      <c r="A81" s="17" t="s">
        <v>115</v>
      </c>
      <c r="B81" s="19" t="s">
        <v>129</v>
      </c>
      <c r="C81" s="15">
        <v>20984400</v>
      </c>
      <c r="D81" s="15">
        <v>20984400</v>
      </c>
      <c r="E81" s="15">
        <v>20984400</v>
      </c>
      <c r="F81" s="15">
        <f t="shared" si="2"/>
        <v>20984400</v>
      </c>
      <c r="G81" s="15"/>
      <c r="H81" s="15"/>
      <c r="I81" s="16">
        <f t="shared" si="1"/>
        <v>100</v>
      </c>
      <c r="J81" s="15">
        <v>0</v>
      </c>
      <c r="K81" s="42"/>
      <c r="L81" s="15">
        <v>0</v>
      </c>
      <c r="M81" s="15">
        <f>L81-P81</f>
        <v>0</v>
      </c>
      <c r="N81" s="15"/>
      <c r="O81" s="15"/>
      <c r="P81" s="15"/>
      <c r="Q81" s="15"/>
      <c r="R81" s="15" t="e">
        <f t="shared" si="3"/>
        <v>#DIV/0!</v>
      </c>
      <c r="S81" s="15">
        <f t="shared" si="29"/>
        <v>20984400</v>
      </c>
      <c r="T81" s="15">
        <f t="shared" si="30"/>
        <v>20984400</v>
      </c>
      <c r="U81" s="15">
        <f t="shared" si="31"/>
        <v>20984400</v>
      </c>
      <c r="V81" s="15">
        <f t="shared" si="7"/>
        <v>100</v>
      </c>
    </row>
    <row r="82" spans="1:22" s="21" customFormat="1" ht="28.5">
      <c r="A82" s="43" t="s">
        <v>144</v>
      </c>
      <c r="B82" s="44">
        <v>3719750</v>
      </c>
      <c r="C82" s="30">
        <v>0</v>
      </c>
      <c r="D82" s="30">
        <v>0</v>
      </c>
      <c r="E82" s="30">
        <v>0</v>
      </c>
      <c r="F82" s="15">
        <f t="shared" si="2"/>
        <v>0</v>
      </c>
      <c r="G82" s="30"/>
      <c r="H82" s="30"/>
      <c r="I82" s="45" t="e">
        <f t="shared" si="1"/>
        <v>#DIV/0!</v>
      </c>
      <c r="J82" s="30"/>
      <c r="K82" s="46"/>
      <c r="L82" s="30"/>
      <c r="M82" s="15">
        <f>L82-P82</f>
        <v>0</v>
      </c>
      <c r="N82" s="30"/>
      <c r="O82" s="30"/>
      <c r="P82" s="30"/>
      <c r="Q82" s="30"/>
      <c r="R82" s="30"/>
      <c r="S82" s="15">
        <f t="shared" si="29"/>
        <v>0</v>
      </c>
      <c r="T82" s="15">
        <f t="shared" si="30"/>
        <v>0</v>
      </c>
      <c r="U82" s="15">
        <f t="shared" si="31"/>
        <v>0</v>
      </c>
      <c r="V82" s="15" t="e">
        <f t="shared" si="7"/>
        <v>#DIV/0!</v>
      </c>
    </row>
    <row r="83" spans="1:22" s="21" customFormat="1" ht="15" thickBot="1">
      <c r="A83" s="43" t="s">
        <v>116</v>
      </c>
      <c r="B83" s="44" t="s">
        <v>130</v>
      </c>
      <c r="C83" s="30">
        <v>15189492</v>
      </c>
      <c r="D83" s="30">
        <v>15189492</v>
      </c>
      <c r="E83" s="30">
        <v>14537547.83</v>
      </c>
      <c r="F83" s="15">
        <f t="shared" si="2"/>
        <v>14537547.83</v>
      </c>
      <c r="G83" s="30"/>
      <c r="H83" s="30"/>
      <c r="I83" s="45">
        <f t="shared" si="1"/>
        <v>95.70792644019957</v>
      </c>
      <c r="J83" s="30">
        <v>0</v>
      </c>
      <c r="K83" s="46"/>
      <c r="L83" s="30">
        <v>0</v>
      </c>
      <c r="M83" s="15">
        <f>L83-P83</f>
        <v>0</v>
      </c>
      <c r="N83" s="30"/>
      <c r="O83" s="30"/>
      <c r="P83" s="30"/>
      <c r="Q83" s="30"/>
      <c r="R83" s="30" t="e">
        <f t="shared" si="3"/>
        <v>#DIV/0!</v>
      </c>
      <c r="S83" s="15">
        <f t="shared" si="29"/>
        <v>15189492</v>
      </c>
      <c r="T83" s="15">
        <f t="shared" si="30"/>
        <v>15189492</v>
      </c>
      <c r="U83" s="15">
        <f t="shared" si="31"/>
        <v>14537547.83</v>
      </c>
      <c r="V83" s="30">
        <f t="shared" si="7"/>
        <v>95.70792644019957</v>
      </c>
    </row>
    <row r="84" spans="1:22" s="21" customFormat="1" ht="15" thickBot="1">
      <c r="A84" s="22" t="s">
        <v>134</v>
      </c>
      <c r="B84" s="23"/>
      <c r="C84" s="24">
        <f aca="true" t="shared" si="32" ref="C84:H84">SUM(C13+C51+C67+C77)</f>
        <v>162759602.69</v>
      </c>
      <c r="D84" s="24">
        <f t="shared" si="32"/>
        <v>162759602.69</v>
      </c>
      <c r="E84" s="24">
        <f t="shared" si="32"/>
        <v>157106733.11</v>
      </c>
      <c r="F84" s="24">
        <f t="shared" si="32"/>
        <v>157106733.11</v>
      </c>
      <c r="G84" s="24">
        <f t="shared" si="32"/>
        <v>91546302.47</v>
      </c>
      <c r="H84" s="25">
        <f t="shared" si="32"/>
        <v>10405139.27</v>
      </c>
      <c r="I84" s="26">
        <f>E84/D84*100</f>
        <v>96.52685956062038</v>
      </c>
      <c r="J84" s="27">
        <f>J13++J51+J67+J77</f>
        <v>37510447.650000006</v>
      </c>
      <c r="K84" s="24">
        <f>K13+K51+K67+K77</f>
        <v>37510447.650000006</v>
      </c>
      <c r="L84" s="24">
        <f aca="true" t="shared" si="33" ref="L84:Q84">SUM(L13+L51+L67+L77)</f>
        <v>32561082.810000002</v>
      </c>
      <c r="M84" s="24">
        <f t="shared" si="33"/>
        <v>3903396.5799999996</v>
      </c>
      <c r="N84" s="24">
        <f t="shared" si="33"/>
        <v>406096.71</v>
      </c>
      <c r="O84" s="24">
        <f t="shared" si="33"/>
        <v>73929.85</v>
      </c>
      <c r="P84" s="24">
        <f t="shared" si="33"/>
        <v>28657686.23</v>
      </c>
      <c r="Q84" s="25">
        <f t="shared" si="33"/>
        <v>18144332.23</v>
      </c>
      <c r="R84" s="48">
        <f t="shared" si="3"/>
        <v>86.805369836742</v>
      </c>
      <c r="S84" s="27">
        <f>SUM(S13+S51+S67+S77)</f>
        <v>200270050.34</v>
      </c>
      <c r="T84" s="24">
        <f>SUM(T13+T51+T67+T77)</f>
        <v>200270050.34</v>
      </c>
      <c r="U84" s="25">
        <f>SUM(U13+U51+U67+U77)</f>
        <v>189667815.92000002</v>
      </c>
      <c r="V84" s="48">
        <f t="shared" si="7"/>
        <v>94.7060309806681</v>
      </c>
    </row>
    <row r="85" s="11" customFormat="1" ht="12.75">
      <c r="B85" s="49"/>
    </row>
    <row r="87" spans="19:21" ht="12.75">
      <c r="S87" s="50">
        <f>C84+J84</f>
        <v>200270050.34</v>
      </c>
      <c r="T87" s="50">
        <f>D84+K84</f>
        <v>200270050.34</v>
      </c>
      <c r="U87" s="50">
        <f>E84+L84</f>
        <v>189667815.92000002</v>
      </c>
    </row>
    <row r="90" spans="19:21" ht="12.75">
      <c r="S90" s="50">
        <f>S87-S84</f>
        <v>0</v>
      </c>
      <c r="T90" s="50">
        <f>T87-T84</f>
        <v>0</v>
      </c>
      <c r="U90" s="50">
        <f>U87-U84</f>
        <v>0</v>
      </c>
    </row>
    <row r="94" ht="12.75">
      <c r="U94" s="28">
        <f>U87/S87</f>
        <v>0.9470603098066811</v>
      </c>
    </row>
  </sheetData>
  <sheetProtection/>
  <mergeCells count="22">
    <mergeCell ref="S7:V7"/>
    <mergeCell ref="S8:T8"/>
    <mergeCell ref="U8:U9"/>
    <mergeCell ref="V8:V9"/>
    <mergeCell ref="L8:L9"/>
    <mergeCell ref="R8:R9"/>
    <mergeCell ref="E8:E9"/>
    <mergeCell ref="F8:F9"/>
    <mergeCell ref="C7:I7"/>
    <mergeCell ref="N8:O8"/>
    <mergeCell ref="A7:A9"/>
    <mergeCell ref="M8:M9"/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</cp:lastModifiedBy>
  <cp:lastPrinted>2017-10-06T13:45:33Z</cp:lastPrinted>
  <dcterms:created xsi:type="dcterms:W3CDTF">2013-01-31T12:13:41Z</dcterms:created>
  <dcterms:modified xsi:type="dcterms:W3CDTF">2019-02-11T07:41:10Z</dcterms:modified>
  <cp:category/>
  <cp:version/>
  <cp:contentType/>
  <cp:contentStatus/>
</cp:coreProperties>
</file>