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<sst xmlns="http://schemas.openxmlformats.org/spreadsheetml/2006/main" count="186" uniqueCount="165">
  <si>
    <t>Код</t>
  </si>
  <si>
    <t>планові показники</t>
  </si>
  <si>
    <t>Загальний фонд</t>
  </si>
  <si>
    <t>% виконання (к.5/к4)</t>
  </si>
  <si>
    <t>Спеціальний фонд</t>
  </si>
  <si>
    <t>Разом</t>
  </si>
  <si>
    <t>(грн)</t>
  </si>
  <si>
    <t>2. Видатки</t>
  </si>
  <si>
    <t>затверджено на рік з урахуванням змін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</si>
  <si>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</si>
  <si>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</si>
  <si>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</si>
  <si>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</si>
  <si>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0115011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</si>
  <si>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</si>
  <si>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</si>
  <si>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Резервний фонд</t>
  </si>
  <si>
    <t>затверджено на вказаний період з урахуванням змін</t>
  </si>
  <si>
    <t>Надання позашкільної освіти позашкільними закладами освіти, заходи із позашкільної роботи з дітьми</t>
  </si>
  <si>
    <t>МЕНСЬКА МІСЬКА РАДА</t>
  </si>
  <si>
    <t>Міська рада м. Мена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</si>
  <si>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</si>
  <si>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</si>
  <si>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</si>
  <si>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</si>
  <si>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</si>
  <si>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</si>
  <si>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</si>
  <si>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</si>
  <si>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</si>
  <si>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</si>
  <si>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</si>
  <si>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</si>
  <si>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Інші заклади та заходи</t>
  </si>
  <si>
    <t>Інші заходи у сфері соціального захисту і соціального забезпечення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</si>
  <si>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</si>
  <si>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</si>
  <si>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</si>
  <si>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</si>
  <si>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</si>
  <si>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</si>
  <si>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</si>
  <si>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</si>
  <si>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</si>
  <si>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</si>
  <si>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</si>
  <si>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Утримання та розвиток транспортної інфраструктури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</si>
  <si>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</si>
  <si>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</si>
  <si>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</si>
  <si>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</si>
  <si>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Запобігання та ліквідація забруднення навколишнього природного середовища</t>
  </si>
  <si>
    <t>Утилізація відходів</t>
  </si>
  <si>
    <t>0110180</t>
  </si>
  <si>
    <t>0113010</t>
  </si>
  <si>
    <t>0113011</t>
  </si>
  <si>
    <t>0113030</t>
  </si>
  <si>
    <t>0113032</t>
  </si>
  <si>
    <t>0113035</t>
  </si>
  <si>
    <t>0113100</t>
  </si>
  <si>
    <t>0113120</t>
  </si>
  <si>
    <t>0113121</t>
  </si>
  <si>
    <t>0113240</t>
  </si>
  <si>
    <t>0113242</t>
  </si>
  <si>
    <t>0115010</t>
  </si>
  <si>
    <t>0115012</t>
  </si>
  <si>
    <t>0116020</t>
  </si>
  <si>
    <t>0116030</t>
  </si>
  <si>
    <t>0116070</t>
  </si>
  <si>
    <t>0116071</t>
  </si>
  <si>
    <t>0117130</t>
  </si>
  <si>
    <t>0117360</t>
  </si>
  <si>
    <t>0117363</t>
  </si>
  <si>
    <t>0117410</t>
  </si>
  <si>
    <t>0117412</t>
  </si>
  <si>
    <t>0117440</t>
  </si>
  <si>
    <t>0117442</t>
  </si>
  <si>
    <t>0117680</t>
  </si>
  <si>
    <t>0118110</t>
  </si>
  <si>
    <t>0118130</t>
  </si>
  <si>
    <t>0118310</t>
  </si>
  <si>
    <t>0118312</t>
  </si>
  <si>
    <t>Відділ освіти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</si>
  <si>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</si>
  <si>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</si>
  <si>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</si>
  <si>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</si>
  <si>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</si>
  <si>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</si>
  <si>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</si>
  <si>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Розвиток дитячо-юнацького та резервного спорту</t>
  </si>
  <si>
    <t>0600000</t>
  </si>
  <si>
    <t>0610000</t>
  </si>
  <si>
    <t>0610160</t>
  </si>
  <si>
    <t>0611010</t>
  </si>
  <si>
    <t>0611020</t>
  </si>
  <si>
    <t>0611090</t>
  </si>
  <si>
    <t>0611100</t>
  </si>
  <si>
    <t>0611150</t>
  </si>
  <si>
    <t>0611160</t>
  </si>
  <si>
    <t>0611161</t>
  </si>
  <si>
    <t>0611162</t>
  </si>
  <si>
    <t>0615030</t>
  </si>
  <si>
    <t>0615031</t>
  </si>
  <si>
    <t>0617360</t>
  </si>
  <si>
    <t>0617363</t>
  </si>
  <si>
    <t>Відділ культури</t>
  </si>
  <si>
    <t>Орган з питань культури, національностей та релігій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</si>
  <si>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</si>
  <si>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</si>
  <si>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</si>
  <si>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</si>
  <si>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</si>
  <si>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Фінансове управління</t>
  </si>
  <si>
    <t>Орган з питань фінансів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</si>
  <si>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</si>
  <si>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</si>
  <si>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1000000</t>
  </si>
  <si>
    <t>1010000</t>
  </si>
  <si>
    <t>1010160</t>
  </si>
  <si>
    <t>1014040</t>
  </si>
  <si>
    <t>1014060</t>
  </si>
  <si>
    <t>1014080</t>
  </si>
  <si>
    <t>1014081</t>
  </si>
  <si>
    <t>1014082</t>
  </si>
  <si>
    <t>3700000</t>
  </si>
  <si>
    <t>3710000</t>
  </si>
  <si>
    <t>3710160</t>
  </si>
  <si>
    <t>3718700</t>
  </si>
  <si>
    <t>3719410</t>
  </si>
  <si>
    <t>3719770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</si>
  <si>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</si>
  <si>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</si>
  <si>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</si>
  <si>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</si>
  <si>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</si>
  <si>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</si>
  <si>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</si>
  <si>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</si>
  <si>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</si>
  <si>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</si>
  <si>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% виконання (к.12/к11)</t>
  </si>
  <si>
    <t>% виконання (к.21/к20)</t>
  </si>
  <si>
    <t>0117362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</si>
  <si>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</si>
  <si>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</si>
  <si>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0117350</t>
  </si>
  <si>
    <t>Розроблення схем планування та забудови територій</t>
  </si>
  <si>
    <t>Співфінансування інвестиційних проектів, що реалізуються за рахунок коштів державного фонду регіонального розвиттку</t>
  </si>
  <si>
    <t>0117110</t>
  </si>
  <si>
    <t>Реалізація програм в галузі сільського господарства</t>
  </si>
  <si>
    <t>0611170</t>
  </si>
  <si>
    <t>Забезпечення діяльності інклюзивних центрів</t>
  </si>
  <si>
    <t>Забезпечення діяльності бібліотек</t>
  </si>
  <si>
    <t>1014030</t>
  </si>
  <si>
    <t>0615045</t>
  </si>
  <si>
    <t xml:space="preserve">                                                  Звіт про виконання бюджету Менської ОТГ за 2019 рік</t>
  </si>
  <si>
    <t>касові видатки за 2019 рік</t>
  </si>
  <si>
    <t>0617361</t>
  </si>
  <si>
    <t>0617362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</si>
  <si>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</si>
  <si>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0117700</t>
  </si>
  <si>
    <t>Будівництво мультифункціональних майданчиків для занять ігровими видами спорту</t>
  </si>
  <si>
    <t>Виконання інвестиційних проектів в рамках формування інфраструктури об'єднаних територіальних громад</t>
  </si>
  <si>
    <t xml:space="preserve">Додаток №2 до проекту рішення тридцять восьмої сесії сьомого скликання Менської міської ради від 24 лютого 2020 року
«Про виконання бюджету Менської міської об’єднаної територіальної громади за 2019 рік
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</si>
</sst>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#0.0"/>
    <numFmt numFmtId="182" formatCode="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1"/>
      <color indexed="8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1"/>
      <color theme="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48" fillId="0" borderId="11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2" fontId="48" fillId="0" borderId="11" xfId="53" applyNumberFormat="1" applyFont="1" applyFill="1" applyBorder="1" applyAlignment="1" quotePrefix="1">
      <alignment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8" fillId="0" borderId="11" xfId="53" applyFont="1" applyFill="1" applyBorder="1" applyAlignment="1" quotePrefix="1">
      <alignment horizontal="center" vertical="center" wrapText="1"/>
      <protection/>
    </xf>
    <xf numFmtId="2" fontId="49" fillId="0" borderId="11" xfId="53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18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49" fillId="0" borderId="11" xfId="53" applyNumberFormat="1" applyFont="1" applyFill="1" applyBorder="1" applyAlignment="1" quotePrefix="1">
      <alignment vertical="center" wrapText="1"/>
      <protection/>
    </xf>
    <xf numFmtId="0" fontId="49" fillId="0" borderId="11" xfId="53" applyFont="1" applyFill="1" applyBorder="1" applyAlignment="1" quotePrefix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8" fillId="0" borderId="18" xfId="53" applyNumberFormat="1" applyFont="1" applyFill="1" applyBorder="1" applyAlignment="1" quotePrefix="1">
      <alignment vertical="center" wrapText="1"/>
      <protection/>
    </xf>
    <xf numFmtId="0" fontId="48" fillId="0" borderId="18" xfId="53" applyFont="1" applyFill="1" applyBorder="1" applyAlignment="1" quotePrefix="1">
      <alignment horizontal="center" vertical="center" wrapText="1"/>
      <protection/>
    </xf>
    <xf numFmtId="4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9" fontId="49" fillId="0" borderId="11" xfId="53" applyNumberFormat="1" applyFont="1" applyFill="1" applyBorder="1" applyAlignment="1" quotePrefix="1">
      <alignment horizontal="center" vertical="center" wrapText="1"/>
      <protection/>
    </xf>
    <xf numFmtId="2" fontId="48" fillId="0" borderId="16" xfId="53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49" fontId="48" fillId="0" borderId="11" xfId="53" applyNumberFormat="1" applyFont="1" applyFill="1" applyBorder="1" applyAlignment="1" quotePrefix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1" fillId="13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11" borderId="2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tabSelected="1" zoomScale="66" zoomScaleNormal="66" zoomScalePageLayoutView="0" workbookViewId="0" topLeftCell="D1">
      <pane ySplit="9" topLeftCell="A78" activePane="bottomLeft" state="frozen"/>
      <selection pane="topLeft" activeCell="A1" sqref="A1"/>
      <selection pane="bottomLeft" activeCell="A4" sqref="A4:U4"/>
    </sheetView>
  </sheetViews>
  <sheetFormatPr defaultColWidth="9.00390625" defaultRowHeight="12.75"/>
  <cols>
    <col min="1" max="1" width="50.75390625" style="28" customWidth="1"/>
    <col min="2" max="2" width="10.75390625" style="29" customWidth="1"/>
    <col min="3" max="3" width="15.625" style="28" customWidth="1"/>
    <col min="4" max="4" width="17.875" style="28" bestFit="1" customWidth="1"/>
    <col min="5" max="5" width="14.875" style="28" bestFit="1" customWidth="1"/>
    <col min="6" max="6" width="16.375" style="28" customWidth="1"/>
    <col min="7" max="7" width="14.875" style="28" customWidth="1"/>
    <col min="8" max="9" width="14.125" style="28" customWidth="1"/>
    <col min="10" max="10" width="13.875" style="28" customWidth="1"/>
    <col min="11" max="16" width="14.00390625" style="11" customWidth="1"/>
    <col min="17" max="18" width="13.375" style="28" customWidth="1"/>
    <col min="19" max="19" width="16.75390625" style="28" customWidth="1"/>
    <col min="20" max="20" width="17.875" style="28" bestFit="1" customWidth="1"/>
    <col min="21" max="21" width="14.875" style="28" customWidth="1"/>
    <col min="22" max="22" width="11.125" style="28" customWidth="1"/>
    <col min="23" max="16384" width="9.125" style="28" customWidth="1"/>
  </cols>
  <sheetData>
    <row r="1" spans="19:22" ht="12.75">
      <c r="S1" s="69" t="s">
        <v>164</v>
      </c>
      <c r="T1" s="70"/>
      <c r="U1" s="70"/>
      <c r="V1" s="70"/>
    </row>
    <row r="2" spans="19:22" ht="12.75">
      <c r="S2" s="70"/>
      <c r="T2" s="70"/>
      <c r="U2" s="70"/>
      <c r="V2" s="70"/>
    </row>
    <row r="3" spans="19:22" ht="56.25" customHeight="1">
      <c r="S3" s="70"/>
      <c r="T3" s="70"/>
      <c r="U3" s="70"/>
      <c r="V3" s="70"/>
    </row>
    <row r="4" spans="1:22" s="11" customFormat="1" ht="29.25" customHeight="1">
      <c r="A4" s="71" t="s">
        <v>156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1"/>
    </row>
    <row r="5" spans="1:22" s="11" customFormat="1" ht="15.75">
      <c r="A5" s="75"/>
      <c r="B5" s="75"/>
      <c r="C5" s="75"/>
      <c r="D5" s="75"/>
      <c r="E5" s="75"/>
      <c r="F5" s="75"/>
      <c r="G5" s="75"/>
      <c r="H5" s="7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ht="16.5" thickBo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6</v>
      </c>
    </row>
    <row r="7" spans="1:22" s="11" customFormat="1" ht="12.75">
      <c r="A7" s="66" t="s">
        <v>9</v>
      </c>
      <c r="B7" s="72" t="s">
        <v>0</v>
      </c>
      <c r="C7" s="63" t="s">
        <v>2</v>
      </c>
      <c r="D7" s="64"/>
      <c r="E7" s="64"/>
      <c r="F7" s="64"/>
      <c r="G7" s="64"/>
      <c r="H7" s="64"/>
      <c r="I7" s="65"/>
      <c r="J7" s="77" t="s">
        <v>4</v>
      </c>
      <c r="K7" s="78"/>
      <c r="L7" s="78"/>
      <c r="M7" s="78"/>
      <c r="N7" s="78"/>
      <c r="O7" s="78"/>
      <c r="P7" s="78"/>
      <c r="Q7" s="78"/>
      <c r="R7" s="79"/>
      <c r="S7" s="53" t="s">
        <v>5</v>
      </c>
      <c r="T7" s="53"/>
      <c r="U7" s="53"/>
      <c r="V7" s="54"/>
    </row>
    <row r="8" spans="1:22" s="11" customFormat="1" ht="12.75" customHeight="1">
      <c r="A8" s="67"/>
      <c r="B8" s="73"/>
      <c r="C8" s="76" t="s">
        <v>1</v>
      </c>
      <c r="D8" s="76"/>
      <c r="E8" s="61" t="s">
        <v>134</v>
      </c>
      <c r="F8" s="57" t="s">
        <v>135</v>
      </c>
      <c r="G8" s="80" t="s">
        <v>136</v>
      </c>
      <c r="H8" s="81"/>
      <c r="I8" s="67" t="s">
        <v>3</v>
      </c>
      <c r="J8" s="76" t="s">
        <v>1</v>
      </c>
      <c r="K8" s="76"/>
      <c r="L8" s="57" t="s">
        <v>134</v>
      </c>
      <c r="M8" s="57" t="s">
        <v>135</v>
      </c>
      <c r="N8" s="55" t="s">
        <v>136</v>
      </c>
      <c r="O8" s="56"/>
      <c r="P8" s="57" t="s">
        <v>137</v>
      </c>
      <c r="Q8" s="9" t="s">
        <v>136</v>
      </c>
      <c r="R8" s="57" t="s">
        <v>141</v>
      </c>
      <c r="S8" s="55" t="s">
        <v>1</v>
      </c>
      <c r="T8" s="56"/>
      <c r="U8" s="57" t="s">
        <v>157</v>
      </c>
      <c r="V8" s="59" t="s">
        <v>142</v>
      </c>
    </row>
    <row r="9" spans="1:22" s="12" customFormat="1" ht="66" customHeight="1" thickBot="1">
      <c r="A9" s="68"/>
      <c r="B9" s="74"/>
      <c r="C9" s="10" t="s">
        <v>8</v>
      </c>
      <c r="D9" s="10" t="s">
        <v>17</v>
      </c>
      <c r="E9" s="62"/>
      <c r="F9" s="58"/>
      <c r="G9" s="10" t="s">
        <v>138</v>
      </c>
      <c r="H9" s="10" t="s">
        <v>139</v>
      </c>
      <c r="I9" s="68"/>
      <c r="J9" s="10" t="s">
        <v>8</v>
      </c>
      <c r="K9" s="10" t="s">
        <v>17</v>
      </c>
      <c r="L9" s="58"/>
      <c r="M9" s="58"/>
      <c r="N9" s="10" t="s">
        <v>138</v>
      </c>
      <c r="O9" s="10" t="s">
        <v>139</v>
      </c>
      <c r="P9" s="58"/>
      <c r="Q9" s="9" t="s">
        <v>140</v>
      </c>
      <c r="R9" s="58"/>
      <c r="S9" s="10" t="s">
        <v>8</v>
      </c>
      <c r="T9" s="10" t="s">
        <v>17</v>
      </c>
      <c r="U9" s="58"/>
      <c r="V9" s="60"/>
    </row>
    <row r="10" spans="1:22" s="12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s="12" customFormat="1" ht="19.5">
      <c r="A11" s="6" t="s">
        <v>7</v>
      </c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2" customFormat="1" ht="19.5">
      <c r="A12" s="6" t="s">
        <v>19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 ht="14.25">
      <c r="A13" s="13" t="s">
        <v>20</v>
      </c>
      <c r="B13" s="14" t="s">
        <v>131</v>
      </c>
      <c r="C13" s="15">
        <f>C14</f>
        <v>38012121.010000005</v>
      </c>
      <c r="D13" s="15">
        <f aca="true" t="shared" si="0" ref="D13:T13">D14</f>
        <v>38012121.010000005</v>
      </c>
      <c r="E13" s="15">
        <f>E14</f>
        <v>37410439.650000006</v>
      </c>
      <c r="F13" s="15">
        <f>E13</f>
        <v>37410439.650000006</v>
      </c>
      <c r="G13" s="15">
        <f t="shared" si="0"/>
        <v>21632800.06</v>
      </c>
      <c r="H13" s="15">
        <f t="shared" si="0"/>
        <v>1403476.2999999998</v>
      </c>
      <c r="I13" s="16">
        <f aca="true" t="shared" si="1" ref="I13:I88">E13/D13*100</f>
        <v>98.41713289336916</v>
      </c>
      <c r="J13" s="15">
        <f>J14</f>
        <v>14404548.649999999</v>
      </c>
      <c r="K13" s="15">
        <f>K14</f>
        <v>14404548.649999999</v>
      </c>
      <c r="L13" s="15">
        <f t="shared" si="0"/>
        <v>14027287.889999999</v>
      </c>
      <c r="M13" s="15">
        <f>M14</f>
        <v>2005269.6199999999</v>
      </c>
      <c r="N13" s="15">
        <f t="shared" si="0"/>
        <v>215923.97999999998</v>
      </c>
      <c r="O13" s="15">
        <f t="shared" si="0"/>
        <v>74508.95999999999</v>
      </c>
      <c r="P13" s="15">
        <f t="shared" si="0"/>
        <v>12022018.27</v>
      </c>
      <c r="Q13" s="15">
        <f t="shared" si="0"/>
        <v>11168441.08</v>
      </c>
      <c r="R13" s="15">
        <f>L13/K13*100</f>
        <v>97.38096090917782</v>
      </c>
      <c r="S13" s="15">
        <f>S14</f>
        <v>52099721.66</v>
      </c>
      <c r="T13" s="15">
        <f t="shared" si="0"/>
        <v>52099721.66</v>
      </c>
      <c r="U13" s="15">
        <f>E13+L13</f>
        <v>51437727.54000001</v>
      </c>
      <c r="V13" s="15">
        <f>U13/T13*100</f>
        <v>98.7293711004444</v>
      </c>
    </row>
    <row r="14" spans="1:22" s="21" customFormat="1" ht="90" customHeight="1">
      <c r="A14" s="17" t="s">
        <v>132</v>
      </c>
      <c r="B14" s="18" t="s">
        <v>133</v>
      </c>
      <c r="C14" s="15">
        <f aca="true" t="shared" si="2" ref="C14:H14">C15+C16+C17+C18+C20+C23+C25+C27+C29+C32+C33+C34+C38+C40+C43+C45+C47+C49+C50+C51+C37+C39</f>
        <v>38012121.010000005</v>
      </c>
      <c r="D14" s="15">
        <f t="shared" si="2"/>
        <v>38012121.010000005</v>
      </c>
      <c r="E14" s="15">
        <f t="shared" si="2"/>
        <v>37410439.650000006</v>
      </c>
      <c r="F14" s="15">
        <f t="shared" si="2"/>
        <v>37410439.650000006</v>
      </c>
      <c r="G14" s="15">
        <f t="shared" si="2"/>
        <v>21632800.06</v>
      </c>
      <c r="H14" s="15">
        <f t="shared" si="2"/>
        <v>1403476.2999999998</v>
      </c>
      <c r="I14" s="16">
        <f t="shared" si="1"/>
        <v>98.41713289336916</v>
      </c>
      <c r="J14" s="15">
        <f aca="true" t="shared" si="3" ref="J14:Q14">J15+J16+J17+J18+J20+J23+J25+J27+J29+J32+J33+J34+J38+J40+J43+J45+J47+J49+J50+J51+J39+J48</f>
        <v>14404548.649999999</v>
      </c>
      <c r="K14" s="15">
        <f t="shared" si="3"/>
        <v>14404548.649999999</v>
      </c>
      <c r="L14" s="15">
        <f t="shared" si="3"/>
        <v>14027287.889999999</v>
      </c>
      <c r="M14" s="15">
        <f t="shared" si="3"/>
        <v>2005269.6199999999</v>
      </c>
      <c r="N14" s="15">
        <f t="shared" si="3"/>
        <v>215923.97999999998</v>
      </c>
      <c r="O14" s="15">
        <f t="shared" si="3"/>
        <v>74508.95999999999</v>
      </c>
      <c r="P14" s="15">
        <f t="shared" si="3"/>
        <v>12022018.27</v>
      </c>
      <c r="Q14" s="15">
        <f t="shared" si="3"/>
        <v>11168441.08</v>
      </c>
      <c r="R14" s="15">
        <f aca="true" t="shared" si="4" ref="R14:R80">L14/K14*100</f>
        <v>97.38096090917782</v>
      </c>
      <c r="S14" s="15">
        <f>S15+S16+S17+S18+S20+S23+S25+S27+S29+S32+S33+S34+S38+S40+S43+S45+S47+S49+S50+S51+S39+S36+S37</f>
        <v>52099721.66</v>
      </c>
      <c r="T14" s="15">
        <f>T15+T16+T17+T18+T20+T23+T25+T27+T29+T32+T33+T34+T38+T40+T43+T45+T47+T49+T50+T39+T51+T37</f>
        <v>52099721.66</v>
      </c>
      <c r="U14" s="15">
        <f aca="true" t="shared" si="5" ref="U14:U83">E14+L14</f>
        <v>51437727.54000001</v>
      </c>
      <c r="V14" s="15">
        <f aca="true" t="shared" si="6" ref="V14:V89">U14/T14*100</f>
        <v>98.7293711004444</v>
      </c>
    </row>
    <row r="15" spans="1:22" s="21" customFormat="1" ht="53.25" customHeight="1">
      <c r="A15" s="13" t="s">
        <v>10</v>
      </c>
      <c r="B15" s="14" t="s">
        <v>21</v>
      </c>
      <c r="C15" s="15">
        <v>14532550</v>
      </c>
      <c r="D15" s="15">
        <v>14532550</v>
      </c>
      <c r="E15" s="15">
        <v>14332071.76</v>
      </c>
      <c r="F15" s="15">
        <f aca="true" t="shared" si="7" ref="F15:F88">E15</f>
        <v>14332071.76</v>
      </c>
      <c r="G15" s="15">
        <f>10762001.16+2344105.8</f>
        <v>13106106.96</v>
      </c>
      <c r="H15" s="15">
        <f>1603.51+113528.77+116352.27+77893.33</f>
        <v>309377.88</v>
      </c>
      <c r="I15" s="16">
        <f>E15/D15*100</f>
        <v>98.6204882143877</v>
      </c>
      <c r="J15" s="15">
        <v>98600</v>
      </c>
      <c r="K15" s="31">
        <v>98600</v>
      </c>
      <c r="L15" s="15">
        <v>88517</v>
      </c>
      <c r="M15" s="15">
        <f aca="true" t="shared" si="8" ref="M15:M88">L15-P15</f>
        <v>900</v>
      </c>
      <c r="N15" s="15"/>
      <c r="O15" s="15"/>
      <c r="P15" s="15">
        <v>87617</v>
      </c>
      <c r="Q15" s="15">
        <v>55158</v>
      </c>
      <c r="R15" s="15">
        <f t="shared" si="4"/>
        <v>89.7738336713996</v>
      </c>
      <c r="S15" s="16">
        <f>C15+J15</f>
        <v>14631150</v>
      </c>
      <c r="T15" s="31">
        <f>D15+K15</f>
        <v>14631150</v>
      </c>
      <c r="U15" s="15">
        <f>E15+L15</f>
        <v>14420588.76</v>
      </c>
      <c r="V15" s="15">
        <f t="shared" si="6"/>
        <v>98.56087019817308</v>
      </c>
    </row>
    <row r="16" spans="1:22" s="21" customFormat="1" ht="46.5" customHeight="1" hidden="1">
      <c r="A16" s="17" t="s">
        <v>22</v>
      </c>
      <c r="B16" s="14" t="s">
        <v>23</v>
      </c>
      <c r="C16" s="15">
        <v>0</v>
      </c>
      <c r="D16" s="15">
        <v>0</v>
      </c>
      <c r="E16" s="15">
        <v>0</v>
      </c>
      <c r="F16" s="15">
        <f t="shared" si="7"/>
        <v>0</v>
      </c>
      <c r="G16" s="15">
        <v>0</v>
      </c>
      <c r="H16" s="15"/>
      <c r="I16" s="16" t="e">
        <f t="shared" si="1"/>
        <v>#DIV/0!</v>
      </c>
      <c r="J16" s="15">
        <v>0</v>
      </c>
      <c r="K16" s="31">
        <v>0</v>
      </c>
      <c r="L16" s="15">
        <v>0</v>
      </c>
      <c r="M16" s="15">
        <f t="shared" si="8"/>
        <v>0</v>
      </c>
      <c r="N16" s="15"/>
      <c r="O16" s="15"/>
      <c r="P16" s="15">
        <v>0</v>
      </c>
      <c r="Q16" s="15">
        <v>0</v>
      </c>
      <c r="R16" s="15" t="e">
        <f t="shared" si="4"/>
        <v>#DIV/0!</v>
      </c>
      <c r="S16" s="16">
        <f aca="true" t="shared" si="9" ref="S16:S52">C16+J16</f>
        <v>0</v>
      </c>
      <c r="T16" s="31">
        <f aca="true" t="shared" si="10" ref="T16:T52">D16+K16</f>
        <v>0</v>
      </c>
      <c r="U16" s="15">
        <f t="shared" si="5"/>
        <v>0</v>
      </c>
      <c r="V16" s="15" t="e">
        <f t="shared" si="6"/>
        <v>#DIV/0!</v>
      </c>
    </row>
    <row r="17" spans="1:22" s="21" customFormat="1" ht="16.5" customHeight="1">
      <c r="A17" s="17" t="s">
        <v>24</v>
      </c>
      <c r="B17" s="19" t="s">
        <v>53</v>
      </c>
      <c r="C17" s="15">
        <v>472667.46</v>
      </c>
      <c r="D17" s="15">
        <v>472667.46</v>
      </c>
      <c r="E17" s="15">
        <v>375127.47</v>
      </c>
      <c r="F17" s="15">
        <f t="shared" si="7"/>
        <v>375127.47</v>
      </c>
      <c r="G17" s="15"/>
      <c r="H17" s="15"/>
      <c r="I17" s="16">
        <f t="shared" si="1"/>
        <v>79.3639295584257</v>
      </c>
      <c r="J17" s="15">
        <v>545873.46</v>
      </c>
      <c r="K17" s="16">
        <v>545873.46</v>
      </c>
      <c r="L17" s="15">
        <v>366805.49</v>
      </c>
      <c r="M17" s="15">
        <f t="shared" si="8"/>
        <v>306283.99</v>
      </c>
      <c r="N17" s="15">
        <v>0</v>
      </c>
      <c r="O17" s="15"/>
      <c r="P17" s="15">
        <v>60521.5</v>
      </c>
      <c r="Q17" s="15">
        <v>60521.5</v>
      </c>
      <c r="R17" s="15">
        <f t="shared" si="4"/>
        <v>67.19606591608246</v>
      </c>
      <c r="S17" s="16">
        <f t="shared" si="9"/>
        <v>1018540.9199999999</v>
      </c>
      <c r="T17" s="31">
        <f t="shared" si="10"/>
        <v>1018540.9199999999</v>
      </c>
      <c r="U17" s="15">
        <f t="shared" si="5"/>
        <v>741932.96</v>
      </c>
      <c r="V17" s="15">
        <f t="shared" si="6"/>
        <v>72.84272486568335</v>
      </c>
    </row>
    <row r="18" spans="1:22" s="21" customFormat="1" ht="71.25" hidden="1">
      <c r="A18" s="17" t="s">
        <v>25</v>
      </c>
      <c r="B18" s="19" t="s">
        <v>54</v>
      </c>
      <c r="C18" s="15">
        <f>C19</f>
        <v>0</v>
      </c>
      <c r="D18" s="15">
        <f>D19</f>
        <v>0</v>
      </c>
      <c r="E18" s="15">
        <f>E19</f>
        <v>0</v>
      </c>
      <c r="F18" s="15">
        <f t="shared" si="7"/>
        <v>0</v>
      </c>
      <c r="G18" s="15">
        <f aca="true" t="shared" si="11" ref="G18:Q18">G19</f>
        <v>0</v>
      </c>
      <c r="H18" s="15">
        <f t="shared" si="11"/>
        <v>0</v>
      </c>
      <c r="I18" s="16" t="e">
        <f t="shared" si="1"/>
        <v>#DIV/0!</v>
      </c>
      <c r="J18" s="15">
        <f t="shared" si="11"/>
        <v>0</v>
      </c>
      <c r="K18" s="15">
        <f t="shared" si="11"/>
        <v>0</v>
      </c>
      <c r="L18" s="15">
        <f t="shared" si="11"/>
        <v>0</v>
      </c>
      <c r="M18" s="15">
        <f t="shared" si="8"/>
        <v>0</v>
      </c>
      <c r="N18" s="15">
        <f t="shared" si="11"/>
        <v>0</v>
      </c>
      <c r="O18" s="15">
        <f t="shared" si="11"/>
        <v>0</v>
      </c>
      <c r="P18" s="15">
        <f t="shared" si="11"/>
        <v>0</v>
      </c>
      <c r="Q18" s="15">
        <f t="shared" si="11"/>
        <v>0</v>
      </c>
      <c r="R18" s="15" t="e">
        <f t="shared" si="4"/>
        <v>#DIV/0!</v>
      </c>
      <c r="S18" s="16">
        <f t="shared" si="9"/>
        <v>0</v>
      </c>
      <c r="T18" s="31">
        <f t="shared" si="10"/>
        <v>0</v>
      </c>
      <c r="U18" s="15">
        <f t="shared" si="5"/>
        <v>0</v>
      </c>
      <c r="V18" s="15" t="e">
        <f t="shared" si="6"/>
        <v>#DIV/0!</v>
      </c>
    </row>
    <row r="19" spans="1:22" s="11" customFormat="1" ht="45" hidden="1">
      <c r="A19" s="35" t="s">
        <v>26</v>
      </c>
      <c r="B19" s="36" t="s">
        <v>55</v>
      </c>
      <c r="C19" s="20">
        <v>0</v>
      </c>
      <c r="D19" s="20">
        <v>0</v>
      </c>
      <c r="E19" s="15">
        <v>0</v>
      </c>
      <c r="F19" s="15">
        <f t="shared" si="7"/>
        <v>0</v>
      </c>
      <c r="G19" s="20">
        <v>0</v>
      </c>
      <c r="H19" s="20">
        <v>0</v>
      </c>
      <c r="I19" s="16" t="e">
        <f>E19/D19*100</f>
        <v>#DIV/0!</v>
      </c>
      <c r="J19" s="20">
        <v>0</v>
      </c>
      <c r="K19" s="33"/>
      <c r="L19" s="15">
        <v>0</v>
      </c>
      <c r="M19" s="15">
        <f t="shared" si="8"/>
        <v>0</v>
      </c>
      <c r="N19" s="20"/>
      <c r="O19" s="20"/>
      <c r="P19" s="20"/>
      <c r="Q19" s="20"/>
      <c r="R19" s="15" t="e">
        <f t="shared" si="4"/>
        <v>#DIV/0!</v>
      </c>
      <c r="S19" s="16">
        <f t="shared" si="9"/>
        <v>0</v>
      </c>
      <c r="T19" s="31">
        <f t="shared" si="10"/>
        <v>0</v>
      </c>
      <c r="U19" s="15">
        <f t="shared" si="5"/>
        <v>0</v>
      </c>
      <c r="V19" s="15" t="e">
        <f t="shared" si="6"/>
        <v>#DIV/0!</v>
      </c>
    </row>
    <row r="20" spans="1:22" s="21" customFormat="1" ht="57" hidden="1">
      <c r="A20" s="17" t="s">
        <v>27</v>
      </c>
      <c r="B20" s="19" t="s">
        <v>56</v>
      </c>
      <c r="C20" s="15">
        <f>C21+C22</f>
        <v>0</v>
      </c>
      <c r="D20" s="15">
        <f>D21+D22</f>
        <v>0</v>
      </c>
      <c r="E20" s="15">
        <f>E21+E22</f>
        <v>0</v>
      </c>
      <c r="F20" s="15">
        <f t="shared" si="7"/>
        <v>0</v>
      </c>
      <c r="G20" s="15">
        <f aca="true" t="shared" si="12" ref="G20:Q20">G21+G22</f>
        <v>0</v>
      </c>
      <c r="H20" s="15">
        <f t="shared" si="12"/>
        <v>0</v>
      </c>
      <c r="I20" s="16" t="e">
        <f t="shared" si="1"/>
        <v>#DIV/0!</v>
      </c>
      <c r="J20" s="15">
        <f t="shared" si="12"/>
        <v>0</v>
      </c>
      <c r="K20" s="15">
        <f t="shared" si="12"/>
        <v>0</v>
      </c>
      <c r="L20" s="15">
        <v>0</v>
      </c>
      <c r="M20" s="15">
        <f t="shared" si="8"/>
        <v>0</v>
      </c>
      <c r="N20" s="15">
        <f t="shared" si="12"/>
        <v>0</v>
      </c>
      <c r="O20" s="15">
        <f t="shared" si="12"/>
        <v>0</v>
      </c>
      <c r="P20" s="15">
        <f t="shared" si="12"/>
        <v>0</v>
      </c>
      <c r="Q20" s="15">
        <f t="shared" si="12"/>
        <v>0</v>
      </c>
      <c r="R20" s="15" t="e">
        <f t="shared" si="4"/>
        <v>#DIV/0!</v>
      </c>
      <c r="S20" s="16">
        <f t="shared" si="9"/>
        <v>0</v>
      </c>
      <c r="T20" s="31">
        <f t="shared" si="10"/>
        <v>0</v>
      </c>
      <c r="U20" s="15">
        <f t="shared" si="5"/>
        <v>0</v>
      </c>
      <c r="V20" s="15" t="e">
        <f t="shared" si="6"/>
        <v>#DIV/0!</v>
      </c>
    </row>
    <row r="21" spans="1:22" s="11" customFormat="1" ht="30" hidden="1">
      <c r="A21" s="35" t="s">
        <v>28</v>
      </c>
      <c r="B21" s="36" t="s">
        <v>57</v>
      </c>
      <c r="C21" s="20">
        <v>0</v>
      </c>
      <c r="D21" s="20">
        <v>0</v>
      </c>
      <c r="E21" s="20">
        <v>0</v>
      </c>
      <c r="F21" s="20">
        <f t="shared" si="7"/>
        <v>0</v>
      </c>
      <c r="G21" s="20">
        <v>0</v>
      </c>
      <c r="H21" s="20">
        <v>0</v>
      </c>
      <c r="I21" s="33" t="e">
        <f t="shared" si="1"/>
        <v>#DIV/0!</v>
      </c>
      <c r="J21" s="20">
        <v>0</v>
      </c>
      <c r="K21" s="33"/>
      <c r="L21" s="20">
        <v>0</v>
      </c>
      <c r="M21" s="20">
        <f t="shared" si="8"/>
        <v>0</v>
      </c>
      <c r="N21" s="20"/>
      <c r="O21" s="20"/>
      <c r="P21" s="20"/>
      <c r="Q21" s="20"/>
      <c r="R21" s="15" t="e">
        <f t="shared" si="4"/>
        <v>#DIV/0!</v>
      </c>
      <c r="S21" s="16">
        <f t="shared" si="9"/>
        <v>0</v>
      </c>
      <c r="T21" s="31">
        <f t="shared" si="10"/>
        <v>0</v>
      </c>
      <c r="U21" s="15">
        <f t="shared" si="5"/>
        <v>0</v>
      </c>
      <c r="V21" s="20" t="e">
        <f t="shared" si="6"/>
        <v>#DIV/0!</v>
      </c>
    </row>
    <row r="22" spans="1:22" s="11" customFormat="1" ht="30" hidden="1">
      <c r="A22" s="35" t="s">
        <v>29</v>
      </c>
      <c r="B22" s="36" t="s">
        <v>58</v>
      </c>
      <c r="C22" s="20">
        <v>0</v>
      </c>
      <c r="D22" s="20">
        <v>0</v>
      </c>
      <c r="E22" s="20">
        <v>0</v>
      </c>
      <c r="F22" s="20">
        <f t="shared" si="7"/>
        <v>0</v>
      </c>
      <c r="G22" s="20">
        <v>0</v>
      </c>
      <c r="H22" s="20">
        <v>0</v>
      </c>
      <c r="I22" s="33" t="e">
        <f t="shared" si="1"/>
        <v>#DIV/0!</v>
      </c>
      <c r="J22" s="20">
        <v>0</v>
      </c>
      <c r="K22" s="33"/>
      <c r="L22" s="20">
        <v>0</v>
      </c>
      <c r="M22" s="20">
        <f t="shared" si="8"/>
        <v>0</v>
      </c>
      <c r="N22" s="20"/>
      <c r="O22" s="20"/>
      <c r="P22" s="20"/>
      <c r="Q22" s="20"/>
      <c r="R22" s="15" t="e">
        <f t="shared" si="4"/>
        <v>#DIV/0!</v>
      </c>
      <c r="S22" s="16">
        <f t="shared" si="9"/>
        <v>0</v>
      </c>
      <c r="T22" s="31">
        <f t="shared" si="10"/>
        <v>0</v>
      </c>
      <c r="U22" s="15">
        <f t="shared" si="5"/>
        <v>0</v>
      </c>
      <c r="V22" s="20" t="e">
        <f t="shared" si="6"/>
        <v>#DIV/0!</v>
      </c>
    </row>
    <row r="23" spans="1:22" s="21" customFormat="1" ht="57">
      <c r="A23" s="17" t="s">
        <v>30</v>
      </c>
      <c r="B23" s="19" t="s">
        <v>59</v>
      </c>
      <c r="C23" s="15">
        <f>C24</f>
        <v>6544798</v>
      </c>
      <c r="D23" s="15">
        <f>D24</f>
        <v>6544798</v>
      </c>
      <c r="E23" s="15">
        <f>E24</f>
        <v>6518164.7</v>
      </c>
      <c r="F23" s="15">
        <f t="shared" si="7"/>
        <v>6518164.7</v>
      </c>
      <c r="G23" s="15">
        <f aca="true" t="shared" si="13" ref="G23:O23">G24</f>
        <v>5707219.51</v>
      </c>
      <c r="H23" s="15">
        <f>H24</f>
        <v>337907.06</v>
      </c>
      <c r="I23" s="16">
        <f t="shared" si="1"/>
        <v>99.5930615429231</v>
      </c>
      <c r="J23" s="15">
        <f t="shared" si="13"/>
        <v>1077300</v>
      </c>
      <c r="K23" s="15">
        <f t="shared" si="13"/>
        <v>1077300</v>
      </c>
      <c r="L23" s="15">
        <f t="shared" si="13"/>
        <v>1035274.91</v>
      </c>
      <c r="M23" s="15">
        <f>L23-P23</f>
        <v>1014274.91</v>
      </c>
      <c r="N23" s="15">
        <f t="shared" si="13"/>
        <v>169630</v>
      </c>
      <c r="O23" s="15">
        <f t="shared" si="13"/>
        <v>0</v>
      </c>
      <c r="P23" s="15">
        <v>21000</v>
      </c>
      <c r="Q23" s="15">
        <f>Q24</f>
        <v>21000</v>
      </c>
      <c r="R23" s="15">
        <f t="shared" si="4"/>
        <v>96.09903555184258</v>
      </c>
      <c r="S23" s="16">
        <f t="shared" si="9"/>
        <v>7622098</v>
      </c>
      <c r="T23" s="31">
        <f t="shared" si="10"/>
        <v>7622098</v>
      </c>
      <c r="U23" s="15">
        <f t="shared" si="5"/>
        <v>7553439.61</v>
      </c>
      <c r="V23" s="15">
        <f t="shared" si="6"/>
        <v>99.099219270075</v>
      </c>
    </row>
    <row r="24" spans="1:22" s="11" customFormat="1" ht="60">
      <c r="A24" s="35" t="s">
        <v>12</v>
      </c>
      <c r="B24" s="36" t="s">
        <v>11</v>
      </c>
      <c r="C24" s="20">
        <v>6544798</v>
      </c>
      <c r="D24" s="20">
        <v>6544798</v>
      </c>
      <c r="E24" s="20">
        <v>6518164.7</v>
      </c>
      <c r="F24" s="20">
        <f t="shared" si="7"/>
        <v>6518164.7</v>
      </c>
      <c r="G24" s="20">
        <f>4667840.25+1039379.26</f>
        <v>5707219.51</v>
      </c>
      <c r="H24" s="20">
        <f>32563.98+12950.33+143455.47+148937.28</f>
        <v>337907.06</v>
      </c>
      <c r="I24" s="33">
        <f t="shared" si="1"/>
        <v>99.5930615429231</v>
      </c>
      <c r="J24" s="20">
        <v>1077300</v>
      </c>
      <c r="K24" s="32">
        <v>1077300</v>
      </c>
      <c r="L24" s="20">
        <v>1035274.91</v>
      </c>
      <c r="M24" s="20">
        <f t="shared" si="8"/>
        <v>1014274.91</v>
      </c>
      <c r="N24" s="20">
        <f>139100+30530</f>
        <v>169630</v>
      </c>
      <c r="O24" s="20"/>
      <c r="P24" s="20">
        <v>21000</v>
      </c>
      <c r="Q24" s="20">
        <v>21000</v>
      </c>
      <c r="R24" s="15">
        <f t="shared" si="4"/>
        <v>96.09903555184258</v>
      </c>
      <c r="S24" s="16">
        <f t="shared" si="9"/>
        <v>7622098</v>
      </c>
      <c r="T24" s="31">
        <f t="shared" si="10"/>
        <v>7622098</v>
      </c>
      <c r="U24" s="15">
        <f t="shared" si="5"/>
        <v>7553439.61</v>
      </c>
      <c r="V24" s="20">
        <f t="shared" si="6"/>
        <v>99.099219270075</v>
      </c>
    </row>
    <row r="25" spans="1:22" s="21" customFormat="1" ht="28.5">
      <c r="A25" s="17" t="s">
        <v>31</v>
      </c>
      <c r="B25" s="19" t="s">
        <v>60</v>
      </c>
      <c r="C25" s="15">
        <f>C26</f>
        <v>1212811</v>
      </c>
      <c r="D25" s="15">
        <f aca="true" t="shared" si="14" ref="D25:Q25">D26</f>
        <v>1212811</v>
      </c>
      <c r="E25" s="15">
        <f>E26</f>
        <v>1210161.03</v>
      </c>
      <c r="F25" s="15">
        <f t="shared" si="7"/>
        <v>1210161.03</v>
      </c>
      <c r="G25" s="15">
        <f t="shared" si="14"/>
        <v>1042539.74</v>
      </c>
      <c r="H25" s="15">
        <f t="shared" si="14"/>
        <v>47133.63</v>
      </c>
      <c r="I25" s="16">
        <f t="shared" si="1"/>
        <v>99.78150181685358</v>
      </c>
      <c r="J25" s="15">
        <f t="shared" si="14"/>
        <v>75000</v>
      </c>
      <c r="K25" s="15">
        <f t="shared" si="14"/>
        <v>75000</v>
      </c>
      <c r="L25" s="15">
        <f t="shared" si="14"/>
        <v>74950</v>
      </c>
      <c r="M25" s="15">
        <f t="shared" si="8"/>
        <v>29950</v>
      </c>
      <c r="N25" s="15">
        <f t="shared" si="14"/>
        <v>0</v>
      </c>
      <c r="O25" s="15">
        <f t="shared" si="14"/>
        <v>0</v>
      </c>
      <c r="P25" s="15">
        <f t="shared" si="14"/>
        <v>45000</v>
      </c>
      <c r="Q25" s="15">
        <f t="shared" si="14"/>
        <v>45000</v>
      </c>
      <c r="R25" s="15">
        <f t="shared" si="4"/>
        <v>99.93333333333332</v>
      </c>
      <c r="S25" s="16">
        <f t="shared" si="9"/>
        <v>1287811</v>
      </c>
      <c r="T25" s="31">
        <f t="shared" si="10"/>
        <v>1287811</v>
      </c>
      <c r="U25" s="15">
        <f t="shared" si="5"/>
        <v>1285111.03</v>
      </c>
      <c r="V25" s="15">
        <f t="shared" si="6"/>
        <v>99.79034423529541</v>
      </c>
    </row>
    <row r="26" spans="1:22" s="11" customFormat="1" ht="30">
      <c r="A26" s="35" t="s">
        <v>32</v>
      </c>
      <c r="B26" s="36" t="s">
        <v>61</v>
      </c>
      <c r="C26" s="20">
        <v>1212811</v>
      </c>
      <c r="D26" s="20">
        <v>1212811</v>
      </c>
      <c r="E26" s="20">
        <v>1210161.03</v>
      </c>
      <c r="F26" s="20">
        <f t="shared" si="7"/>
        <v>1210161.03</v>
      </c>
      <c r="G26" s="20">
        <f>841064.66+201475.08</f>
        <v>1042539.74</v>
      </c>
      <c r="H26" s="20">
        <f>199.97+8283.66+38650</f>
        <v>47133.63</v>
      </c>
      <c r="I26" s="33">
        <f t="shared" si="1"/>
        <v>99.78150181685358</v>
      </c>
      <c r="J26" s="20">
        <v>75000</v>
      </c>
      <c r="K26" s="33">
        <v>75000</v>
      </c>
      <c r="L26" s="20">
        <v>74950</v>
      </c>
      <c r="M26" s="20">
        <f t="shared" si="8"/>
        <v>29950</v>
      </c>
      <c r="N26" s="20"/>
      <c r="O26" s="20"/>
      <c r="P26" s="20">
        <v>45000</v>
      </c>
      <c r="Q26" s="20">
        <v>45000</v>
      </c>
      <c r="R26" s="15">
        <f t="shared" si="4"/>
        <v>99.93333333333332</v>
      </c>
      <c r="S26" s="16">
        <f t="shared" si="9"/>
        <v>1287811</v>
      </c>
      <c r="T26" s="31">
        <f t="shared" si="10"/>
        <v>1287811</v>
      </c>
      <c r="U26" s="15">
        <f t="shared" si="5"/>
        <v>1285111.03</v>
      </c>
      <c r="V26" s="20">
        <f t="shared" si="6"/>
        <v>99.79034423529541</v>
      </c>
    </row>
    <row r="27" spans="1:22" s="21" customFormat="1" ht="14.25">
      <c r="A27" s="17" t="s">
        <v>33</v>
      </c>
      <c r="B27" s="19" t="s">
        <v>62</v>
      </c>
      <c r="C27" s="15">
        <f>C28</f>
        <v>898900</v>
      </c>
      <c r="D27" s="15">
        <f aca="true" t="shared" si="15" ref="D27:Q27">D28</f>
        <v>898900</v>
      </c>
      <c r="E27" s="15">
        <f>E28</f>
        <v>898750</v>
      </c>
      <c r="F27" s="15">
        <f t="shared" si="7"/>
        <v>898750</v>
      </c>
      <c r="G27" s="15">
        <f t="shared" si="15"/>
        <v>0</v>
      </c>
      <c r="H27" s="15">
        <f t="shared" si="15"/>
        <v>0</v>
      </c>
      <c r="I27" s="16">
        <f t="shared" si="1"/>
        <v>99.98331293803537</v>
      </c>
      <c r="J27" s="15">
        <f t="shared" si="15"/>
        <v>0</v>
      </c>
      <c r="K27" s="15">
        <f t="shared" si="15"/>
        <v>0</v>
      </c>
      <c r="L27" s="15">
        <f t="shared" si="15"/>
        <v>0</v>
      </c>
      <c r="M27" s="15">
        <f t="shared" si="8"/>
        <v>0</v>
      </c>
      <c r="N27" s="15">
        <f t="shared" si="15"/>
        <v>0</v>
      </c>
      <c r="O27" s="15">
        <f t="shared" si="15"/>
        <v>0</v>
      </c>
      <c r="P27" s="15">
        <f>P28</f>
        <v>0</v>
      </c>
      <c r="Q27" s="15">
        <f t="shared" si="15"/>
        <v>0</v>
      </c>
      <c r="R27" s="15" t="e">
        <f t="shared" si="4"/>
        <v>#DIV/0!</v>
      </c>
      <c r="S27" s="16">
        <f t="shared" si="9"/>
        <v>898900</v>
      </c>
      <c r="T27" s="31">
        <f t="shared" si="10"/>
        <v>898900</v>
      </c>
      <c r="U27" s="15">
        <f t="shared" si="5"/>
        <v>898750</v>
      </c>
      <c r="V27" s="15">
        <f t="shared" si="6"/>
        <v>99.98331293803537</v>
      </c>
    </row>
    <row r="28" spans="1:22" s="11" customFormat="1" ht="30">
      <c r="A28" s="35" t="s">
        <v>34</v>
      </c>
      <c r="B28" s="36" t="s">
        <v>63</v>
      </c>
      <c r="C28" s="20">
        <v>898900</v>
      </c>
      <c r="D28" s="20">
        <v>898900</v>
      </c>
      <c r="E28" s="20">
        <v>898750</v>
      </c>
      <c r="F28" s="20">
        <f t="shared" si="7"/>
        <v>898750</v>
      </c>
      <c r="G28" s="20"/>
      <c r="H28" s="20"/>
      <c r="I28" s="33">
        <f t="shared" si="1"/>
        <v>99.98331293803537</v>
      </c>
      <c r="J28" s="20">
        <v>0</v>
      </c>
      <c r="K28" s="33"/>
      <c r="L28" s="20">
        <v>0</v>
      </c>
      <c r="M28" s="20">
        <f t="shared" si="8"/>
        <v>0</v>
      </c>
      <c r="N28" s="20"/>
      <c r="O28" s="20"/>
      <c r="P28" s="20"/>
      <c r="Q28" s="20"/>
      <c r="R28" s="15" t="e">
        <f t="shared" si="4"/>
        <v>#DIV/0!</v>
      </c>
      <c r="S28" s="16">
        <f t="shared" si="9"/>
        <v>898900</v>
      </c>
      <c r="T28" s="31">
        <f t="shared" si="10"/>
        <v>898900</v>
      </c>
      <c r="U28" s="15">
        <f t="shared" si="5"/>
        <v>898750</v>
      </c>
      <c r="V28" s="20">
        <f t="shared" si="6"/>
        <v>99.98331293803537</v>
      </c>
    </row>
    <row r="29" spans="1:22" s="21" customFormat="1" ht="14.25">
      <c r="A29" s="17" t="s">
        <v>35</v>
      </c>
      <c r="B29" s="19" t="s">
        <v>64</v>
      </c>
      <c r="C29" s="15">
        <f>C30+C31</f>
        <v>154000</v>
      </c>
      <c r="D29" s="15">
        <f aca="true" t="shared" si="16" ref="D29:Q29">D30+D31</f>
        <v>154000</v>
      </c>
      <c r="E29" s="15">
        <f>E30+E31</f>
        <v>148494.18</v>
      </c>
      <c r="F29" s="15">
        <f t="shared" si="7"/>
        <v>148494.18</v>
      </c>
      <c r="G29" s="15">
        <f t="shared" si="16"/>
        <v>0</v>
      </c>
      <c r="H29" s="15">
        <f t="shared" si="16"/>
        <v>0</v>
      </c>
      <c r="I29" s="16">
        <f t="shared" si="1"/>
        <v>96.4247922077922</v>
      </c>
      <c r="J29" s="15">
        <f t="shared" si="16"/>
        <v>0</v>
      </c>
      <c r="K29" s="15">
        <f t="shared" si="16"/>
        <v>0</v>
      </c>
      <c r="L29" s="15">
        <f t="shared" si="16"/>
        <v>0</v>
      </c>
      <c r="M29" s="15">
        <f t="shared" si="8"/>
        <v>0</v>
      </c>
      <c r="N29" s="15">
        <f t="shared" si="16"/>
        <v>0</v>
      </c>
      <c r="O29" s="15">
        <f t="shared" si="16"/>
        <v>0</v>
      </c>
      <c r="P29" s="15">
        <f t="shared" si="16"/>
        <v>0</v>
      </c>
      <c r="Q29" s="15">
        <f t="shared" si="16"/>
        <v>0</v>
      </c>
      <c r="R29" s="15" t="e">
        <f t="shared" si="4"/>
        <v>#DIV/0!</v>
      </c>
      <c r="S29" s="16">
        <f t="shared" si="9"/>
        <v>154000</v>
      </c>
      <c r="T29" s="31">
        <f t="shared" si="10"/>
        <v>154000</v>
      </c>
      <c r="U29" s="15">
        <f t="shared" si="5"/>
        <v>148494.18</v>
      </c>
      <c r="V29" s="15">
        <f t="shared" si="6"/>
        <v>96.4247922077922</v>
      </c>
    </row>
    <row r="30" spans="1:22" s="11" customFormat="1" ht="30">
      <c r="A30" s="35" t="s">
        <v>14</v>
      </c>
      <c r="B30" s="36" t="s">
        <v>13</v>
      </c>
      <c r="C30" s="20">
        <v>137000</v>
      </c>
      <c r="D30" s="20">
        <v>137000</v>
      </c>
      <c r="E30" s="20">
        <v>135451.44</v>
      </c>
      <c r="F30" s="20">
        <f t="shared" si="7"/>
        <v>135451.44</v>
      </c>
      <c r="G30" s="20"/>
      <c r="H30" s="20"/>
      <c r="I30" s="33">
        <f t="shared" si="1"/>
        <v>98.86966423357664</v>
      </c>
      <c r="J30" s="20">
        <v>0</v>
      </c>
      <c r="K30" s="33"/>
      <c r="L30" s="20">
        <v>0</v>
      </c>
      <c r="M30" s="20">
        <f t="shared" si="8"/>
        <v>0</v>
      </c>
      <c r="N30" s="20"/>
      <c r="O30" s="20"/>
      <c r="P30" s="20"/>
      <c r="Q30" s="20"/>
      <c r="R30" s="15" t="e">
        <f t="shared" si="4"/>
        <v>#DIV/0!</v>
      </c>
      <c r="S30" s="16">
        <f t="shared" si="9"/>
        <v>137000</v>
      </c>
      <c r="T30" s="31">
        <f t="shared" si="10"/>
        <v>137000</v>
      </c>
      <c r="U30" s="15">
        <f t="shared" si="5"/>
        <v>135451.44</v>
      </c>
      <c r="V30" s="20">
        <f t="shared" si="6"/>
        <v>98.86966423357664</v>
      </c>
    </row>
    <row r="31" spans="1:22" s="11" customFormat="1" ht="30">
      <c r="A31" s="35" t="s">
        <v>36</v>
      </c>
      <c r="B31" s="36" t="s">
        <v>65</v>
      </c>
      <c r="C31" s="20">
        <v>17000</v>
      </c>
      <c r="D31" s="20">
        <v>17000</v>
      </c>
      <c r="E31" s="20">
        <v>13042.74</v>
      </c>
      <c r="F31" s="20">
        <f t="shared" si="7"/>
        <v>13042.74</v>
      </c>
      <c r="G31" s="20"/>
      <c r="H31" s="20"/>
      <c r="I31" s="33">
        <f t="shared" si="1"/>
        <v>76.72200000000001</v>
      </c>
      <c r="J31" s="20">
        <v>0</v>
      </c>
      <c r="K31" s="33"/>
      <c r="L31" s="20">
        <v>0</v>
      </c>
      <c r="M31" s="20">
        <f t="shared" si="8"/>
        <v>0</v>
      </c>
      <c r="N31" s="20"/>
      <c r="O31" s="20"/>
      <c r="P31" s="20"/>
      <c r="Q31" s="20"/>
      <c r="R31" s="15" t="e">
        <f t="shared" si="4"/>
        <v>#DIV/0!</v>
      </c>
      <c r="S31" s="16">
        <f t="shared" si="9"/>
        <v>17000</v>
      </c>
      <c r="T31" s="31">
        <f t="shared" si="10"/>
        <v>17000</v>
      </c>
      <c r="U31" s="15">
        <f t="shared" si="5"/>
        <v>13042.74</v>
      </c>
      <c r="V31" s="20">
        <f t="shared" si="6"/>
        <v>76.72200000000001</v>
      </c>
    </row>
    <row r="32" spans="1:22" s="21" customFormat="1" ht="57">
      <c r="A32" s="17" t="s">
        <v>37</v>
      </c>
      <c r="B32" s="19" t="s">
        <v>66</v>
      </c>
      <c r="C32" s="15">
        <v>5343200</v>
      </c>
      <c r="D32" s="15">
        <v>5343200</v>
      </c>
      <c r="E32" s="15">
        <v>5307909.49</v>
      </c>
      <c r="F32" s="15">
        <f t="shared" si="7"/>
        <v>5307909.49</v>
      </c>
      <c r="G32" s="15"/>
      <c r="H32" s="15"/>
      <c r="I32" s="16">
        <f t="shared" si="1"/>
        <v>99.3395248165893</v>
      </c>
      <c r="J32" s="15">
        <v>0</v>
      </c>
      <c r="K32" s="16"/>
      <c r="L32" s="15">
        <v>0</v>
      </c>
      <c r="M32" s="15">
        <f t="shared" si="8"/>
        <v>0</v>
      </c>
      <c r="N32" s="15"/>
      <c r="O32" s="15"/>
      <c r="P32" s="15"/>
      <c r="Q32" s="15"/>
      <c r="R32" s="15" t="e">
        <f t="shared" si="4"/>
        <v>#DIV/0!</v>
      </c>
      <c r="S32" s="16">
        <f t="shared" si="9"/>
        <v>5343200</v>
      </c>
      <c r="T32" s="31">
        <f t="shared" si="10"/>
        <v>5343200</v>
      </c>
      <c r="U32" s="15">
        <f t="shared" si="5"/>
        <v>5307909.49</v>
      </c>
      <c r="V32" s="15">
        <f t="shared" si="6"/>
        <v>99.3395248165893</v>
      </c>
    </row>
    <row r="33" spans="1:22" s="21" customFormat="1" ht="14.25">
      <c r="A33" s="17" t="s">
        <v>38</v>
      </c>
      <c r="B33" s="19" t="s">
        <v>67</v>
      </c>
      <c r="C33" s="15">
        <v>2189805.54</v>
      </c>
      <c r="D33" s="15">
        <v>2189805.54</v>
      </c>
      <c r="E33" s="15">
        <v>2174822.11</v>
      </c>
      <c r="F33" s="15">
        <f t="shared" si="7"/>
        <v>2174822.11</v>
      </c>
      <c r="G33" s="15">
        <f>37945.9+8348.11</f>
        <v>46294.01</v>
      </c>
      <c r="H33" s="15">
        <f>4996.04+3047.37+648288.17</f>
        <v>656331.5800000001</v>
      </c>
      <c r="I33" s="16">
        <f>E33/D33*100</f>
        <v>99.31576435777944</v>
      </c>
      <c r="J33" s="15">
        <v>1795638.9</v>
      </c>
      <c r="K33" s="16">
        <v>1795638.9</v>
      </c>
      <c r="L33" s="15">
        <v>1769815.64</v>
      </c>
      <c r="M33" s="15">
        <f t="shared" si="8"/>
        <v>214113.97999999998</v>
      </c>
      <c r="N33" s="15">
        <f>37945.89+8348.09</f>
        <v>46293.979999999996</v>
      </c>
      <c r="O33" s="15">
        <v>60528.96</v>
      </c>
      <c r="P33" s="15">
        <v>1555701.66</v>
      </c>
      <c r="Q33" s="15">
        <v>734583.47</v>
      </c>
      <c r="R33" s="15">
        <f t="shared" si="4"/>
        <v>98.5618901439482</v>
      </c>
      <c r="S33" s="16">
        <f t="shared" si="9"/>
        <v>3985444.44</v>
      </c>
      <c r="T33" s="31">
        <f t="shared" si="10"/>
        <v>3985444.44</v>
      </c>
      <c r="U33" s="15">
        <f t="shared" si="5"/>
        <v>3944637.75</v>
      </c>
      <c r="V33" s="15">
        <f t="shared" si="6"/>
        <v>98.97610691569444</v>
      </c>
    </row>
    <row r="34" spans="1:22" s="21" customFormat="1" ht="35.25" customHeight="1">
      <c r="A34" s="17" t="s">
        <v>39</v>
      </c>
      <c r="B34" s="19" t="s">
        <v>68</v>
      </c>
      <c r="C34" s="15">
        <f>C35</f>
        <v>1230000</v>
      </c>
      <c r="D34" s="15">
        <f aca="true" t="shared" si="17" ref="D34:Q34">D35</f>
        <v>1230000</v>
      </c>
      <c r="E34" s="15">
        <f>E35</f>
        <v>1096569.61</v>
      </c>
      <c r="F34" s="15">
        <f t="shared" si="7"/>
        <v>1096569.61</v>
      </c>
      <c r="G34" s="15">
        <f t="shared" si="17"/>
        <v>0</v>
      </c>
      <c r="H34" s="15">
        <f t="shared" si="17"/>
        <v>0</v>
      </c>
      <c r="I34" s="16">
        <f t="shared" si="1"/>
        <v>89.15200081300813</v>
      </c>
      <c r="J34" s="15">
        <f t="shared" si="17"/>
        <v>0</v>
      </c>
      <c r="K34" s="15">
        <f t="shared" si="17"/>
        <v>0</v>
      </c>
      <c r="L34" s="15">
        <f t="shared" si="17"/>
        <v>0</v>
      </c>
      <c r="M34" s="15">
        <f t="shared" si="8"/>
        <v>0</v>
      </c>
      <c r="N34" s="15">
        <f t="shared" si="17"/>
        <v>0</v>
      </c>
      <c r="O34" s="15">
        <f t="shared" si="17"/>
        <v>0</v>
      </c>
      <c r="P34" s="15">
        <f t="shared" si="17"/>
        <v>0</v>
      </c>
      <c r="Q34" s="15">
        <f t="shared" si="17"/>
        <v>0</v>
      </c>
      <c r="R34" s="15" t="e">
        <f t="shared" si="4"/>
        <v>#DIV/0!</v>
      </c>
      <c r="S34" s="16">
        <f t="shared" si="9"/>
        <v>1230000</v>
      </c>
      <c r="T34" s="31">
        <f>D34+K34</f>
        <v>1230000</v>
      </c>
      <c r="U34" s="15">
        <f t="shared" si="5"/>
        <v>1096569.61</v>
      </c>
      <c r="V34" s="15">
        <f t="shared" si="6"/>
        <v>89.15200081300813</v>
      </c>
    </row>
    <row r="35" spans="1:22" s="11" customFormat="1" ht="90">
      <c r="A35" s="35" t="s">
        <v>40</v>
      </c>
      <c r="B35" s="36" t="s">
        <v>69</v>
      </c>
      <c r="C35" s="20">
        <v>1230000</v>
      </c>
      <c r="D35" s="20">
        <v>1230000</v>
      </c>
      <c r="E35" s="20">
        <v>1096569.61</v>
      </c>
      <c r="F35" s="20">
        <f t="shared" si="7"/>
        <v>1096569.61</v>
      </c>
      <c r="G35" s="20"/>
      <c r="H35" s="20"/>
      <c r="I35" s="33">
        <f t="shared" si="1"/>
        <v>89.15200081300813</v>
      </c>
      <c r="J35" s="20">
        <v>0</v>
      </c>
      <c r="K35" s="33"/>
      <c r="L35" s="20">
        <v>0</v>
      </c>
      <c r="M35" s="20">
        <f t="shared" si="8"/>
        <v>0</v>
      </c>
      <c r="N35" s="20"/>
      <c r="O35" s="20"/>
      <c r="P35" s="20"/>
      <c r="Q35" s="20"/>
      <c r="R35" s="15" t="e">
        <f t="shared" si="4"/>
        <v>#DIV/0!</v>
      </c>
      <c r="S35" s="16">
        <f t="shared" si="9"/>
        <v>1230000</v>
      </c>
      <c r="T35" s="31">
        <f t="shared" si="10"/>
        <v>1230000</v>
      </c>
      <c r="U35" s="15">
        <f t="shared" si="5"/>
        <v>1096569.61</v>
      </c>
      <c r="V35" s="20">
        <f t="shared" si="6"/>
        <v>89.15200081300813</v>
      </c>
    </row>
    <row r="36" spans="1:22" s="21" customFormat="1" ht="71.25" hidden="1">
      <c r="A36" s="17" t="s">
        <v>145</v>
      </c>
      <c r="B36" s="19">
        <v>116083</v>
      </c>
      <c r="C36" s="15"/>
      <c r="D36" s="15"/>
      <c r="E36" s="15"/>
      <c r="F36" s="15"/>
      <c r="G36" s="15"/>
      <c r="H36" s="15"/>
      <c r="I36" s="16"/>
      <c r="J36" s="15">
        <v>0</v>
      </c>
      <c r="K36" s="16">
        <v>0</v>
      </c>
      <c r="L36" s="15"/>
      <c r="M36" s="15"/>
      <c r="N36" s="15"/>
      <c r="O36" s="15"/>
      <c r="P36" s="15"/>
      <c r="Q36" s="15"/>
      <c r="R36" s="15" t="e">
        <f t="shared" si="4"/>
        <v>#DIV/0!</v>
      </c>
      <c r="S36" s="16">
        <f t="shared" si="9"/>
        <v>0</v>
      </c>
      <c r="T36" s="31">
        <f t="shared" si="10"/>
        <v>0</v>
      </c>
      <c r="U36" s="15">
        <f t="shared" si="5"/>
        <v>0</v>
      </c>
      <c r="V36" s="15" t="e">
        <f t="shared" si="6"/>
        <v>#DIV/0!</v>
      </c>
    </row>
    <row r="37" spans="1:22" s="21" customFormat="1" ht="28.5">
      <c r="A37" s="17" t="s">
        <v>150</v>
      </c>
      <c r="B37" s="48" t="s">
        <v>149</v>
      </c>
      <c r="C37" s="15">
        <v>18260</v>
      </c>
      <c r="D37" s="15">
        <v>18260</v>
      </c>
      <c r="E37" s="15"/>
      <c r="F37" s="15"/>
      <c r="G37" s="15"/>
      <c r="H37" s="15"/>
      <c r="I37" s="16"/>
      <c r="J37" s="15"/>
      <c r="K37" s="16"/>
      <c r="L37" s="15"/>
      <c r="M37" s="15"/>
      <c r="N37" s="15"/>
      <c r="O37" s="15"/>
      <c r="P37" s="15"/>
      <c r="Q37" s="15"/>
      <c r="R37" s="15" t="e">
        <f t="shared" si="4"/>
        <v>#DIV/0!</v>
      </c>
      <c r="S37" s="16">
        <f t="shared" si="9"/>
        <v>18260</v>
      </c>
      <c r="T37" s="31">
        <f t="shared" si="10"/>
        <v>18260</v>
      </c>
      <c r="U37" s="15"/>
      <c r="V37" s="15"/>
    </row>
    <row r="38" spans="1:22" s="21" customFormat="1" ht="14.25">
      <c r="A38" s="17" t="s">
        <v>41</v>
      </c>
      <c r="B38" s="19" t="s">
        <v>70</v>
      </c>
      <c r="C38" s="15">
        <v>705763</v>
      </c>
      <c r="D38" s="15">
        <v>705763</v>
      </c>
      <c r="E38" s="15">
        <v>705456.5</v>
      </c>
      <c r="F38" s="15">
        <f t="shared" si="7"/>
        <v>705456.5</v>
      </c>
      <c r="G38" s="15"/>
      <c r="H38" s="15"/>
      <c r="I38" s="16">
        <f t="shared" si="1"/>
        <v>99.95657182368586</v>
      </c>
      <c r="J38" s="15">
        <v>363200</v>
      </c>
      <c r="K38" s="31">
        <v>363200</v>
      </c>
      <c r="L38" s="15">
        <v>362361</v>
      </c>
      <c r="M38" s="15">
        <f t="shared" si="8"/>
        <v>0</v>
      </c>
      <c r="N38" s="15"/>
      <c r="O38" s="15"/>
      <c r="P38" s="15">
        <v>362361</v>
      </c>
      <c r="Q38" s="15">
        <v>362361</v>
      </c>
      <c r="R38" s="15">
        <f t="shared" si="4"/>
        <v>99.76899779735683</v>
      </c>
      <c r="S38" s="16">
        <f t="shared" si="9"/>
        <v>1068963</v>
      </c>
      <c r="T38" s="31">
        <f t="shared" si="10"/>
        <v>1068963</v>
      </c>
      <c r="U38" s="15">
        <f t="shared" si="5"/>
        <v>1067817.5</v>
      </c>
      <c r="V38" s="15">
        <f t="shared" si="6"/>
        <v>99.8928400702363</v>
      </c>
    </row>
    <row r="39" spans="1:22" s="21" customFormat="1" ht="28.5">
      <c r="A39" s="17" t="s">
        <v>147</v>
      </c>
      <c r="B39" s="48" t="s">
        <v>146</v>
      </c>
      <c r="C39" s="15">
        <v>0</v>
      </c>
      <c r="D39" s="15">
        <v>0</v>
      </c>
      <c r="E39" s="15">
        <v>0</v>
      </c>
      <c r="F39" s="15"/>
      <c r="G39" s="15"/>
      <c r="H39" s="15"/>
      <c r="I39" s="16"/>
      <c r="J39" s="15">
        <v>560000</v>
      </c>
      <c r="K39" s="31">
        <v>560000</v>
      </c>
      <c r="L39" s="15">
        <v>549200</v>
      </c>
      <c r="M39" s="15">
        <f t="shared" si="8"/>
        <v>0</v>
      </c>
      <c r="N39" s="15"/>
      <c r="O39" s="15"/>
      <c r="P39" s="15">
        <v>549200</v>
      </c>
      <c r="Q39" s="15">
        <v>549200</v>
      </c>
      <c r="R39" s="15">
        <f t="shared" si="4"/>
        <v>98.07142857142857</v>
      </c>
      <c r="S39" s="16">
        <f t="shared" si="9"/>
        <v>560000</v>
      </c>
      <c r="T39" s="31">
        <f t="shared" si="10"/>
        <v>560000</v>
      </c>
      <c r="U39" s="15">
        <f t="shared" si="5"/>
        <v>549200</v>
      </c>
      <c r="V39" s="15">
        <f t="shared" si="6"/>
        <v>98.07142857142857</v>
      </c>
    </row>
    <row r="40" spans="1:22" s="21" customFormat="1" ht="14.25">
      <c r="A40" s="17" t="s">
        <v>42</v>
      </c>
      <c r="B40" s="19" t="s">
        <v>71</v>
      </c>
      <c r="C40" s="15">
        <f>C42</f>
        <v>0</v>
      </c>
      <c r="D40" s="15">
        <f>D42</f>
        <v>0</v>
      </c>
      <c r="E40" s="15">
        <f>E42</f>
        <v>0</v>
      </c>
      <c r="F40" s="15">
        <f t="shared" si="7"/>
        <v>0</v>
      </c>
      <c r="G40" s="15">
        <f>G42</f>
        <v>0</v>
      </c>
      <c r="H40" s="15">
        <f>H42</f>
        <v>0</v>
      </c>
      <c r="I40" s="16" t="e">
        <f t="shared" si="1"/>
        <v>#DIV/0!</v>
      </c>
      <c r="J40" s="15">
        <f aca="true" t="shared" si="18" ref="J40:Q40">J41+J42</f>
        <v>9339608.29</v>
      </c>
      <c r="K40" s="15">
        <f t="shared" si="18"/>
        <v>9339608.29</v>
      </c>
      <c r="L40" s="15">
        <f t="shared" si="18"/>
        <v>9241470.11</v>
      </c>
      <c r="M40" s="15">
        <f t="shared" si="18"/>
        <v>0</v>
      </c>
      <c r="N40" s="15">
        <f t="shared" si="18"/>
        <v>0</v>
      </c>
      <c r="O40" s="15">
        <f t="shared" si="18"/>
        <v>0</v>
      </c>
      <c r="P40" s="15">
        <f t="shared" si="18"/>
        <v>9241470.11</v>
      </c>
      <c r="Q40" s="15">
        <f t="shared" si="18"/>
        <v>9241470.11</v>
      </c>
      <c r="R40" s="15">
        <f t="shared" si="4"/>
        <v>98.94922595302977</v>
      </c>
      <c r="S40" s="16">
        <f t="shared" si="9"/>
        <v>9339608.29</v>
      </c>
      <c r="T40" s="31">
        <f t="shared" si="10"/>
        <v>9339608.29</v>
      </c>
      <c r="U40" s="15">
        <f t="shared" si="5"/>
        <v>9241470.11</v>
      </c>
      <c r="V40" s="15">
        <f t="shared" si="6"/>
        <v>98.94922595302977</v>
      </c>
    </row>
    <row r="41" spans="1:22" s="11" customFormat="1" ht="45">
      <c r="A41" s="35" t="s">
        <v>163</v>
      </c>
      <c r="B41" s="44" t="s">
        <v>143</v>
      </c>
      <c r="C41" s="20"/>
      <c r="D41" s="20"/>
      <c r="E41" s="20"/>
      <c r="F41" s="20"/>
      <c r="G41" s="20"/>
      <c r="H41" s="20"/>
      <c r="I41" s="33"/>
      <c r="J41" s="20">
        <v>7007440</v>
      </c>
      <c r="K41" s="20">
        <v>7007440</v>
      </c>
      <c r="L41" s="20">
        <v>6997540.14</v>
      </c>
      <c r="M41" s="20"/>
      <c r="N41" s="20"/>
      <c r="O41" s="20"/>
      <c r="P41" s="20">
        <v>6997540.14</v>
      </c>
      <c r="Q41" s="20">
        <v>6997540.14</v>
      </c>
      <c r="R41" s="15">
        <f t="shared" si="4"/>
        <v>99.85872358521799</v>
      </c>
      <c r="S41" s="16">
        <f t="shared" si="9"/>
        <v>7007440</v>
      </c>
      <c r="T41" s="31">
        <f t="shared" si="10"/>
        <v>7007440</v>
      </c>
      <c r="U41" s="15">
        <f t="shared" si="5"/>
        <v>6997540.14</v>
      </c>
      <c r="V41" s="20"/>
    </row>
    <row r="42" spans="1:22" s="11" customFormat="1" ht="45">
      <c r="A42" s="35" t="s">
        <v>43</v>
      </c>
      <c r="B42" s="36" t="s">
        <v>72</v>
      </c>
      <c r="C42" s="20">
        <v>0</v>
      </c>
      <c r="D42" s="20"/>
      <c r="E42" s="20"/>
      <c r="F42" s="20">
        <f t="shared" si="7"/>
        <v>0</v>
      </c>
      <c r="G42" s="20"/>
      <c r="H42" s="20"/>
      <c r="I42" s="33" t="e">
        <f t="shared" si="1"/>
        <v>#DIV/0!</v>
      </c>
      <c r="J42" s="20">
        <v>2332168.29</v>
      </c>
      <c r="K42" s="33">
        <v>2332168.29</v>
      </c>
      <c r="L42" s="20">
        <v>2243929.97</v>
      </c>
      <c r="M42" s="20">
        <f t="shared" si="8"/>
        <v>0</v>
      </c>
      <c r="N42" s="20"/>
      <c r="O42" s="20"/>
      <c r="P42" s="20">
        <v>2243929.97</v>
      </c>
      <c r="Q42" s="20">
        <v>2243929.97</v>
      </c>
      <c r="R42" s="15">
        <f t="shared" si="4"/>
        <v>96.216468580833</v>
      </c>
      <c r="S42" s="16">
        <f t="shared" si="9"/>
        <v>2332168.29</v>
      </c>
      <c r="T42" s="31">
        <f t="shared" si="10"/>
        <v>2332168.29</v>
      </c>
      <c r="U42" s="15">
        <f t="shared" si="5"/>
        <v>2243929.97</v>
      </c>
      <c r="V42" s="20">
        <f t="shared" si="6"/>
        <v>96.216468580833</v>
      </c>
    </row>
    <row r="43" spans="1:22" s="21" customFormat="1" ht="28.5">
      <c r="A43" s="17" t="s">
        <v>44</v>
      </c>
      <c r="B43" s="19" t="s">
        <v>73</v>
      </c>
      <c r="C43" s="15">
        <f>C44</f>
        <v>219984.01</v>
      </c>
      <c r="D43" s="15">
        <f aca="true" t="shared" si="19" ref="D43:Q43">D44</f>
        <v>219984.01</v>
      </c>
      <c r="E43" s="15">
        <f>E44</f>
        <v>192980</v>
      </c>
      <c r="F43" s="15">
        <f t="shared" si="7"/>
        <v>192980</v>
      </c>
      <c r="G43" s="15">
        <f t="shared" si="19"/>
        <v>0</v>
      </c>
      <c r="H43" s="15">
        <f t="shared" si="19"/>
        <v>0</v>
      </c>
      <c r="I43" s="16">
        <f t="shared" si="1"/>
        <v>87.72455779854181</v>
      </c>
      <c r="J43" s="15">
        <f t="shared" si="19"/>
        <v>0</v>
      </c>
      <c r="K43" s="15">
        <f t="shared" si="19"/>
        <v>0</v>
      </c>
      <c r="L43" s="15">
        <f t="shared" si="19"/>
        <v>0</v>
      </c>
      <c r="M43" s="15">
        <f t="shared" si="8"/>
        <v>0</v>
      </c>
      <c r="N43" s="15">
        <f t="shared" si="19"/>
        <v>0</v>
      </c>
      <c r="O43" s="15">
        <f t="shared" si="19"/>
        <v>0</v>
      </c>
      <c r="P43" s="15">
        <f t="shared" si="19"/>
        <v>0</v>
      </c>
      <c r="Q43" s="15">
        <f t="shared" si="19"/>
        <v>0</v>
      </c>
      <c r="R43" s="15" t="e">
        <f t="shared" si="4"/>
        <v>#DIV/0!</v>
      </c>
      <c r="S43" s="16">
        <f t="shared" si="9"/>
        <v>219984.01</v>
      </c>
      <c r="T43" s="31">
        <f t="shared" si="10"/>
        <v>219984.01</v>
      </c>
      <c r="U43" s="15">
        <f t="shared" si="5"/>
        <v>192980</v>
      </c>
      <c r="V43" s="15">
        <f t="shared" si="6"/>
        <v>87.72455779854181</v>
      </c>
    </row>
    <row r="44" spans="1:22" s="11" customFormat="1" ht="30">
      <c r="A44" s="35" t="s">
        <v>45</v>
      </c>
      <c r="B44" s="36" t="s">
        <v>74</v>
      </c>
      <c r="C44" s="20">
        <v>219984.01</v>
      </c>
      <c r="D44" s="20">
        <v>219984.01</v>
      </c>
      <c r="E44" s="20">
        <v>192980</v>
      </c>
      <c r="F44" s="20">
        <f t="shared" si="7"/>
        <v>192980</v>
      </c>
      <c r="G44" s="20"/>
      <c r="H44" s="20"/>
      <c r="I44" s="33">
        <f t="shared" si="1"/>
        <v>87.72455779854181</v>
      </c>
      <c r="J44" s="20">
        <v>0</v>
      </c>
      <c r="K44" s="32"/>
      <c r="L44" s="20">
        <v>0</v>
      </c>
      <c r="M44" s="20">
        <f t="shared" si="8"/>
        <v>0</v>
      </c>
      <c r="N44" s="20"/>
      <c r="O44" s="20"/>
      <c r="P44" s="20"/>
      <c r="Q44" s="20"/>
      <c r="R44" s="15" t="e">
        <f t="shared" si="4"/>
        <v>#DIV/0!</v>
      </c>
      <c r="S44" s="16">
        <f t="shared" si="9"/>
        <v>219984.01</v>
      </c>
      <c r="T44" s="31">
        <f t="shared" si="10"/>
        <v>219984.01</v>
      </c>
      <c r="U44" s="15">
        <f t="shared" si="5"/>
        <v>192980</v>
      </c>
      <c r="V44" s="20">
        <f t="shared" si="6"/>
        <v>87.72455779854181</v>
      </c>
    </row>
    <row r="45" spans="1:22" s="21" customFormat="1" ht="28.5">
      <c r="A45" s="17" t="s">
        <v>46</v>
      </c>
      <c r="B45" s="19" t="s">
        <v>75</v>
      </c>
      <c r="C45" s="15">
        <f>C46</f>
        <v>2133882</v>
      </c>
      <c r="D45" s="15">
        <f>D46</f>
        <v>2133882</v>
      </c>
      <c r="E45" s="15">
        <f>E46</f>
        <v>2129039.49</v>
      </c>
      <c r="F45" s="15">
        <f t="shared" si="7"/>
        <v>2129039.49</v>
      </c>
      <c r="G45" s="15">
        <f>G46</f>
        <v>0</v>
      </c>
      <c r="H45" s="15">
        <f>H46</f>
        <v>0</v>
      </c>
      <c r="I45" s="16">
        <f t="shared" si="1"/>
        <v>99.77306570841313</v>
      </c>
      <c r="J45" s="15">
        <f>J46</f>
        <v>0</v>
      </c>
      <c r="K45" s="15">
        <f>K46</f>
        <v>0</v>
      </c>
      <c r="L45" s="15">
        <f>L46</f>
        <v>0</v>
      </c>
      <c r="M45" s="15">
        <f t="shared" si="8"/>
        <v>0</v>
      </c>
      <c r="N45" s="15">
        <f>N46</f>
        <v>0</v>
      </c>
      <c r="O45" s="15">
        <f>O46</f>
        <v>0</v>
      </c>
      <c r="P45" s="15">
        <f>P46</f>
        <v>0</v>
      </c>
      <c r="Q45" s="15">
        <f>Q46</f>
        <v>0</v>
      </c>
      <c r="R45" s="15" t="e">
        <f t="shared" si="4"/>
        <v>#DIV/0!</v>
      </c>
      <c r="S45" s="16">
        <f t="shared" si="9"/>
        <v>2133882</v>
      </c>
      <c r="T45" s="31">
        <f t="shared" si="10"/>
        <v>2133882</v>
      </c>
      <c r="U45" s="15">
        <f t="shared" si="5"/>
        <v>2129039.49</v>
      </c>
      <c r="V45" s="15">
        <f t="shared" si="6"/>
        <v>99.77306570841313</v>
      </c>
    </row>
    <row r="46" spans="1:22" s="11" customFormat="1" ht="30">
      <c r="A46" s="35" t="s">
        <v>47</v>
      </c>
      <c r="B46" s="36" t="s">
        <v>76</v>
      </c>
      <c r="C46" s="20">
        <v>2133882</v>
      </c>
      <c r="D46" s="20">
        <v>2133882</v>
      </c>
      <c r="E46" s="20">
        <v>2129039.49</v>
      </c>
      <c r="F46" s="20">
        <f t="shared" si="7"/>
        <v>2129039.49</v>
      </c>
      <c r="G46" s="20"/>
      <c r="H46" s="20"/>
      <c r="I46" s="33">
        <f t="shared" si="1"/>
        <v>99.77306570841313</v>
      </c>
      <c r="J46" s="20">
        <v>0</v>
      </c>
      <c r="K46" s="32">
        <v>0</v>
      </c>
      <c r="L46" s="20">
        <v>0</v>
      </c>
      <c r="M46" s="20">
        <f t="shared" si="8"/>
        <v>0</v>
      </c>
      <c r="N46" s="20"/>
      <c r="O46" s="20"/>
      <c r="P46" s="20">
        <v>0</v>
      </c>
      <c r="Q46" s="20">
        <v>0</v>
      </c>
      <c r="R46" s="15" t="e">
        <f t="shared" si="4"/>
        <v>#DIV/0!</v>
      </c>
      <c r="S46" s="16">
        <f t="shared" si="9"/>
        <v>2133882</v>
      </c>
      <c r="T46" s="31">
        <f t="shared" si="10"/>
        <v>2133882</v>
      </c>
      <c r="U46" s="15">
        <f t="shared" si="5"/>
        <v>2129039.49</v>
      </c>
      <c r="V46" s="20">
        <f t="shared" si="6"/>
        <v>99.77306570841313</v>
      </c>
    </row>
    <row r="47" spans="1:22" s="21" customFormat="1" ht="28.5">
      <c r="A47" s="17" t="s">
        <v>48</v>
      </c>
      <c r="B47" s="19" t="s">
        <v>77</v>
      </c>
      <c r="C47" s="15">
        <v>50000</v>
      </c>
      <c r="D47" s="15">
        <v>50000</v>
      </c>
      <c r="E47" s="15">
        <v>50000</v>
      </c>
      <c r="F47" s="15">
        <f t="shared" si="7"/>
        <v>50000</v>
      </c>
      <c r="G47" s="15"/>
      <c r="H47" s="15"/>
      <c r="I47" s="16">
        <f t="shared" si="1"/>
        <v>100</v>
      </c>
      <c r="J47" s="15">
        <v>0</v>
      </c>
      <c r="K47" s="31"/>
      <c r="L47" s="15">
        <v>0</v>
      </c>
      <c r="M47" s="15">
        <f t="shared" si="8"/>
        <v>0</v>
      </c>
      <c r="N47" s="15"/>
      <c r="O47" s="15"/>
      <c r="P47" s="15"/>
      <c r="Q47" s="15"/>
      <c r="R47" s="15" t="e">
        <f t="shared" si="4"/>
        <v>#DIV/0!</v>
      </c>
      <c r="S47" s="16">
        <f t="shared" si="9"/>
        <v>50000</v>
      </c>
      <c r="T47" s="31">
        <f t="shared" si="10"/>
        <v>50000</v>
      </c>
      <c r="U47" s="15">
        <f t="shared" si="5"/>
        <v>50000</v>
      </c>
      <c r="V47" s="15">
        <f t="shared" si="6"/>
        <v>100</v>
      </c>
    </row>
    <row r="48" spans="1:22" s="21" customFormat="1" ht="57">
      <c r="A48" s="17" t="s">
        <v>160</v>
      </c>
      <c r="B48" s="48" t="s">
        <v>161</v>
      </c>
      <c r="C48" s="15"/>
      <c r="D48" s="15"/>
      <c r="E48" s="15"/>
      <c r="F48" s="15"/>
      <c r="G48" s="15"/>
      <c r="H48" s="15"/>
      <c r="I48" s="16"/>
      <c r="J48" s="15">
        <v>316948</v>
      </c>
      <c r="K48" s="31">
        <v>316948</v>
      </c>
      <c r="L48" s="15">
        <v>316948</v>
      </c>
      <c r="M48" s="15">
        <f t="shared" si="8"/>
        <v>217801</v>
      </c>
      <c r="N48" s="15"/>
      <c r="O48" s="15"/>
      <c r="P48" s="15">
        <v>99147</v>
      </c>
      <c r="Q48" s="15">
        <v>99147</v>
      </c>
      <c r="R48" s="15"/>
      <c r="S48" s="16"/>
      <c r="T48" s="31"/>
      <c r="U48" s="15"/>
      <c r="V48" s="15"/>
    </row>
    <row r="49" spans="1:22" s="21" customFormat="1" ht="42.75">
      <c r="A49" s="17" t="s">
        <v>49</v>
      </c>
      <c r="B49" s="19" t="s">
        <v>78</v>
      </c>
      <c r="C49" s="15">
        <v>142000</v>
      </c>
      <c r="D49" s="15">
        <v>142000</v>
      </c>
      <c r="E49" s="15">
        <v>111867.6</v>
      </c>
      <c r="F49" s="15">
        <f t="shared" si="7"/>
        <v>111867.6</v>
      </c>
      <c r="G49" s="15"/>
      <c r="H49" s="15"/>
      <c r="I49" s="16">
        <f t="shared" si="1"/>
        <v>78.78</v>
      </c>
      <c r="J49" s="15">
        <v>0</v>
      </c>
      <c r="K49" s="16">
        <v>0</v>
      </c>
      <c r="L49" s="15">
        <v>0</v>
      </c>
      <c r="M49" s="15">
        <f t="shared" si="8"/>
        <v>0</v>
      </c>
      <c r="N49" s="15"/>
      <c r="O49" s="15"/>
      <c r="P49" s="15">
        <v>0</v>
      </c>
      <c r="Q49" s="15">
        <v>0</v>
      </c>
      <c r="R49" s="15" t="e">
        <f t="shared" si="4"/>
        <v>#DIV/0!</v>
      </c>
      <c r="S49" s="16">
        <f t="shared" si="9"/>
        <v>142000</v>
      </c>
      <c r="T49" s="31">
        <f t="shared" si="10"/>
        <v>142000</v>
      </c>
      <c r="U49" s="15">
        <f t="shared" si="5"/>
        <v>111867.6</v>
      </c>
      <c r="V49" s="15">
        <f t="shared" si="6"/>
        <v>78.78</v>
      </c>
    </row>
    <row r="50" spans="1:22" s="21" customFormat="1" ht="28.5">
      <c r="A50" s="17" t="s">
        <v>50</v>
      </c>
      <c r="B50" s="19" t="s">
        <v>79</v>
      </c>
      <c r="C50" s="15">
        <v>2163500</v>
      </c>
      <c r="D50" s="15">
        <v>2163500</v>
      </c>
      <c r="E50" s="15">
        <v>2159025.71</v>
      </c>
      <c r="F50" s="15">
        <f t="shared" si="7"/>
        <v>2159025.71</v>
      </c>
      <c r="G50" s="15">
        <f>1417563.16+313076.68</f>
        <v>1730639.8399999999</v>
      </c>
      <c r="H50" s="15">
        <f>12954.15+39772</f>
        <v>52726.15</v>
      </c>
      <c r="I50" s="16">
        <f t="shared" si="1"/>
        <v>99.79319204991911</v>
      </c>
      <c r="J50" s="15">
        <v>23980</v>
      </c>
      <c r="K50" s="31">
        <v>23980</v>
      </c>
      <c r="L50" s="15">
        <v>16280</v>
      </c>
      <c r="M50" s="15">
        <f t="shared" si="8"/>
        <v>16280</v>
      </c>
      <c r="N50" s="15"/>
      <c r="O50" s="15">
        <v>13980</v>
      </c>
      <c r="P50" s="15"/>
      <c r="Q50" s="15"/>
      <c r="R50" s="15">
        <f t="shared" si="4"/>
        <v>67.88990825688074</v>
      </c>
      <c r="S50" s="16">
        <f t="shared" si="9"/>
        <v>2187480</v>
      </c>
      <c r="T50" s="31">
        <f t="shared" si="10"/>
        <v>2187480</v>
      </c>
      <c r="U50" s="15">
        <f t="shared" si="5"/>
        <v>2175305.71</v>
      </c>
      <c r="V50" s="15">
        <f t="shared" si="6"/>
        <v>99.44345594016859</v>
      </c>
    </row>
    <row r="51" spans="1:22" s="21" customFormat="1" ht="28.5">
      <c r="A51" s="17" t="s">
        <v>51</v>
      </c>
      <c r="B51" s="19" t="s">
        <v>80</v>
      </c>
      <c r="C51" s="15">
        <f>C52</f>
        <v>0</v>
      </c>
      <c r="D51" s="15">
        <f>D52</f>
        <v>0</v>
      </c>
      <c r="E51" s="15">
        <f>E52</f>
        <v>0</v>
      </c>
      <c r="F51" s="15">
        <f t="shared" si="7"/>
        <v>0</v>
      </c>
      <c r="G51" s="15">
        <f>G52</f>
        <v>0</v>
      </c>
      <c r="H51" s="15">
        <f>H52</f>
        <v>0</v>
      </c>
      <c r="I51" s="16" t="e">
        <f t="shared" si="1"/>
        <v>#DIV/0!</v>
      </c>
      <c r="J51" s="15">
        <f>J52</f>
        <v>208400</v>
      </c>
      <c r="K51" s="15">
        <f aca="true" t="shared" si="20" ref="K51:V51">K52</f>
        <v>208400</v>
      </c>
      <c r="L51" s="15">
        <f t="shared" si="20"/>
        <v>205665.74</v>
      </c>
      <c r="M51" s="15">
        <f t="shared" si="20"/>
        <v>205665.74</v>
      </c>
      <c r="N51" s="15">
        <f t="shared" si="20"/>
        <v>0</v>
      </c>
      <c r="O51" s="15">
        <f t="shared" si="20"/>
        <v>0</v>
      </c>
      <c r="P51" s="15">
        <f t="shared" si="20"/>
        <v>0</v>
      </c>
      <c r="Q51" s="15">
        <f t="shared" si="20"/>
        <v>0</v>
      </c>
      <c r="R51" s="15">
        <f t="shared" si="20"/>
        <v>98.68797504798465</v>
      </c>
      <c r="S51" s="15">
        <f t="shared" si="20"/>
        <v>208400</v>
      </c>
      <c r="T51" s="15">
        <f t="shared" si="20"/>
        <v>208400</v>
      </c>
      <c r="U51" s="15">
        <f t="shared" si="20"/>
        <v>205665.74</v>
      </c>
      <c r="V51" s="15">
        <f t="shared" si="20"/>
        <v>98.68797504798465</v>
      </c>
    </row>
    <row r="52" spans="1:22" s="11" customFormat="1" ht="17.25" customHeight="1">
      <c r="A52" s="35" t="s">
        <v>52</v>
      </c>
      <c r="B52" s="36" t="s">
        <v>81</v>
      </c>
      <c r="C52" s="20">
        <v>0</v>
      </c>
      <c r="D52" s="20"/>
      <c r="E52" s="20"/>
      <c r="F52" s="20">
        <f t="shared" si="7"/>
        <v>0</v>
      </c>
      <c r="G52" s="20"/>
      <c r="H52" s="20"/>
      <c r="I52" s="33" t="e">
        <f t="shared" si="1"/>
        <v>#DIV/0!</v>
      </c>
      <c r="J52" s="20">
        <v>208400</v>
      </c>
      <c r="K52" s="32">
        <v>208400</v>
      </c>
      <c r="L52" s="20">
        <v>205665.74</v>
      </c>
      <c r="M52" s="20">
        <f t="shared" si="8"/>
        <v>205665.74</v>
      </c>
      <c r="N52" s="20"/>
      <c r="O52" s="20"/>
      <c r="P52" s="20"/>
      <c r="Q52" s="20"/>
      <c r="R52" s="15">
        <f t="shared" si="4"/>
        <v>98.68797504798465</v>
      </c>
      <c r="S52" s="16">
        <f t="shared" si="9"/>
        <v>208400</v>
      </c>
      <c r="T52" s="31">
        <f t="shared" si="10"/>
        <v>208400</v>
      </c>
      <c r="U52" s="15">
        <f t="shared" si="5"/>
        <v>205665.74</v>
      </c>
      <c r="V52" s="20">
        <f t="shared" si="6"/>
        <v>98.68797504798465</v>
      </c>
    </row>
    <row r="53" spans="1:22" s="21" customFormat="1" ht="14.25">
      <c r="A53" s="17" t="s">
        <v>82</v>
      </c>
      <c r="B53" s="19" t="s">
        <v>91</v>
      </c>
      <c r="C53" s="15">
        <f>C54</f>
        <v>96904543.91</v>
      </c>
      <c r="D53" s="15">
        <f aca="true" t="shared" si="21" ref="D53:Q53">D54</f>
        <v>96904543.91</v>
      </c>
      <c r="E53" s="15">
        <f>E54</f>
        <v>94312724.62</v>
      </c>
      <c r="F53" s="15">
        <f t="shared" si="7"/>
        <v>94312724.62</v>
      </c>
      <c r="G53" s="15">
        <f t="shared" si="21"/>
        <v>78374965.4</v>
      </c>
      <c r="H53" s="15">
        <f t="shared" si="21"/>
        <v>6911667.79</v>
      </c>
      <c r="I53" s="16">
        <f t="shared" si="1"/>
        <v>97.32538931052899</v>
      </c>
      <c r="J53" s="15">
        <f t="shared" si="21"/>
        <v>10911152.500000002</v>
      </c>
      <c r="K53" s="15">
        <f t="shared" si="21"/>
        <v>10911152.500000002</v>
      </c>
      <c r="L53" s="15">
        <f t="shared" si="21"/>
        <v>9847120.760000002</v>
      </c>
      <c r="M53" s="15">
        <f t="shared" si="8"/>
        <v>1389862.660000002</v>
      </c>
      <c r="N53" s="15">
        <f t="shared" si="21"/>
        <v>0</v>
      </c>
      <c r="O53" s="15">
        <f t="shared" si="21"/>
        <v>36150</v>
      </c>
      <c r="P53" s="15">
        <f>P54</f>
        <v>8457258.1</v>
      </c>
      <c r="Q53" s="15">
        <f t="shared" si="21"/>
        <v>8382458.1</v>
      </c>
      <c r="R53" s="15">
        <f t="shared" si="4"/>
        <v>90.24821860018912</v>
      </c>
      <c r="S53" s="16">
        <f aca="true" t="shared" si="22" ref="S53:T88">C53+J53</f>
        <v>107815696.41</v>
      </c>
      <c r="T53" s="31">
        <f>D53+K53</f>
        <v>107815696.41</v>
      </c>
      <c r="U53" s="15">
        <f t="shared" si="5"/>
        <v>104159845.38000001</v>
      </c>
      <c r="V53" s="15">
        <f t="shared" si="6"/>
        <v>96.60916624227184</v>
      </c>
    </row>
    <row r="54" spans="1:22" s="21" customFormat="1" ht="14.25">
      <c r="A54" s="17" t="s">
        <v>82</v>
      </c>
      <c r="B54" s="19" t="s">
        <v>92</v>
      </c>
      <c r="C54" s="15">
        <f aca="true" t="shared" si="23" ref="C54:H54">C55+C56+C57+C58+C59+C60+C61+C65+C68+C64</f>
        <v>96904543.91</v>
      </c>
      <c r="D54" s="15">
        <f t="shared" si="23"/>
        <v>96904543.91</v>
      </c>
      <c r="E54" s="15">
        <f t="shared" si="23"/>
        <v>94312724.62</v>
      </c>
      <c r="F54" s="15">
        <f t="shared" si="23"/>
        <v>94312724.62</v>
      </c>
      <c r="G54" s="15">
        <f t="shared" si="23"/>
        <v>78374965.4</v>
      </c>
      <c r="H54" s="15">
        <f t="shared" si="23"/>
        <v>6911667.79</v>
      </c>
      <c r="I54" s="16">
        <f t="shared" si="1"/>
        <v>97.32538931052899</v>
      </c>
      <c r="J54" s="15">
        <f>J55+J56+J57+J58+J59+J60+J61+J65+J68+J64+J67</f>
        <v>10911152.500000002</v>
      </c>
      <c r="K54" s="15">
        <f aca="true" t="shared" si="24" ref="K54:Q54">K55+K56+K57+K58+K59+K60+K61+K65+K68+K64+K67</f>
        <v>10911152.500000002</v>
      </c>
      <c r="L54" s="15">
        <f>L55+L56+L57+L58+L59+L60+L61+L65+L68+L64+L67</f>
        <v>9847120.760000002</v>
      </c>
      <c r="M54" s="15">
        <f t="shared" si="24"/>
        <v>1389862.6600000001</v>
      </c>
      <c r="N54" s="15">
        <f t="shared" si="24"/>
        <v>0</v>
      </c>
      <c r="O54" s="15">
        <f t="shared" si="24"/>
        <v>36150</v>
      </c>
      <c r="P54" s="15">
        <f t="shared" si="24"/>
        <v>8457258.1</v>
      </c>
      <c r="Q54" s="15">
        <f t="shared" si="24"/>
        <v>8382458.1</v>
      </c>
      <c r="R54" s="15">
        <f t="shared" si="4"/>
        <v>90.24821860018912</v>
      </c>
      <c r="S54" s="16">
        <f t="shared" si="22"/>
        <v>107815696.41</v>
      </c>
      <c r="T54" s="31">
        <f t="shared" si="22"/>
        <v>107815696.41</v>
      </c>
      <c r="U54" s="15">
        <f t="shared" si="5"/>
        <v>104159845.38000001</v>
      </c>
      <c r="V54" s="15">
        <f t="shared" si="6"/>
        <v>96.60916624227184</v>
      </c>
    </row>
    <row r="55" spans="1:22" s="21" customFormat="1" ht="42.75">
      <c r="A55" s="17" t="s">
        <v>22</v>
      </c>
      <c r="B55" s="19" t="s">
        <v>93</v>
      </c>
      <c r="C55" s="15">
        <v>768400</v>
      </c>
      <c r="D55" s="15">
        <v>768400</v>
      </c>
      <c r="E55" s="15">
        <v>751970.96</v>
      </c>
      <c r="F55" s="15">
        <f t="shared" si="7"/>
        <v>751970.96</v>
      </c>
      <c r="G55" s="15">
        <f>595644.14+131119.86</f>
        <v>726764</v>
      </c>
      <c r="H55" s="15"/>
      <c r="I55" s="16">
        <f t="shared" si="1"/>
        <v>97.86191566892242</v>
      </c>
      <c r="J55" s="15">
        <v>0</v>
      </c>
      <c r="K55" s="31">
        <v>0</v>
      </c>
      <c r="L55" s="15">
        <v>0</v>
      </c>
      <c r="M55" s="15">
        <f t="shared" si="8"/>
        <v>0</v>
      </c>
      <c r="N55" s="15"/>
      <c r="O55" s="15"/>
      <c r="P55" s="15"/>
      <c r="Q55" s="15"/>
      <c r="R55" s="15" t="e">
        <f t="shared" si="4"/>
        <v>#DIV/0!</v>
      </c>
      <c r="S55" s="16">
        <f t="shared" si="22"/>
        <v>768400</v>
      </c>
      <c r="T55" s="31">
        <f t="shared" si="22"/>
        <v>768400</v>
      </c>
      <c r="U55" s="15">
        <f t="shared" si="5"/>
        <v>751970.96</v>
      </c>
      <c r="V55" s="15">
        <f t="shared" si="6"/>
        <v>97.86191566892242</v>
      </c>
    </row>
    <row r="56" spans="1:22" s="21" customFormat="1" ht="14.25">
      <c r="A56" s="17" t="s">
        <v>83</v>
      </c>
      <c r="B56" s="19" t="s">
        <v>94</v>
      </c>
      <c r="C56" s="15">
        <v>18033573.64</v>
      </c>
      <c r="D56" s="15">
        <v>18033573.64</v>
      </c>
      <c r="E56" s="15">
        <v>17812285.33</v>
      </c>
      <c r="F56" s="15">
        <f t="shared" si="7"/>
        <v>17812285.33</v>
      </c>
      <c r="G56" s="15">
        <f>10958633.02+2528600</f>
        <v>13487233.02</v>
      </c>
      <c r="H56" s="15">
        <f>169845.51+94688.06+599000+693619.05+324609.93</f>
        <v>1881762.55</v>
      </c>
      <c r="I56" s="16">
        <f t="shared" si="1"/>
        <v>98.77290927235207</v>
      </c>
      <c r="J56" s="15">
        <v>821729.36</v>
      </c>
      <c r="K56" s="31">
        <v>821729.36</v>
      </c>
      <c r="L56" s="15">
        <v>818035</v>
      </c>
      <c r="M56" s="15">
        <f t="shared" si="8"/>
        <v>739938</v>
      </c>
      <c r="N56" s="15"/>
      <c r="O56" s="15">
        <v>36150</v>
      </c>
      <c r="P56" s="15">
        <v>78097</v>
      </c>
      <c r="Q56" s="15">
        <v>29097</v>
      </c>
      <c r="R56" s="15">
        <f t="shared" si="4"/>
        <v>99.55041645341723</v>
      </c>
      <c r="S56" s="16">
        <f t="shared" si="22"/>
        <v>18855303</v>
      </c>
      <c r="T56" s="31">
        <f t="shared" si="22"/>
        <v>18855303</v>
      </c>
      <c r="U56" s="15">
        <f t="shared" si="5"/>
        <v>18630320.33</v>
      </c>
      <c r="V56" s="15">
        <f t="shared" si="6"/>
        <v>98.80679366436063</v>
      </c>
    </row>
    <row r="57" spans="1:22" s="21" customFormat="1" ht="71.25">
      <c r="A57" s="17" t="s">
        <v>84</v>
      </c>
      <c r="B57" s="19" t="s">
        <v>95</v>
      </c>
      <c r="C57" s="15">
        <v>66889090.78</v>
      </c>
      <c r="D57" s="15">
        <v>66889090.78</v>
      </c>
      <c r="E57" s="15">
        <v>64877439.16</v>
      </c>
      <c r="F57" s="15">
        <f t="shared" si="7"/>
        <v>64877439.16</v>
      </c>
      <c r="G57" s="15">
        <f>44106678.63+10021378.55</f>
        <v>54128057.18000001</v>
      </c>
      <c r="H57" s="15">
        <f>1258047.22+51601.82+742900+1051274.66+1678518.43</f>
        <v>4782342.13</v>
      </c>
      <c r="I57" s="16">
        <f t="shared" si="1"/>
        <v>96.99255648934385</v>
      </c>
      <c r="J57" s="15">
        <v>5127175.44</v>
      </c>
      <c r="K57" s="31">
        <v>5127175.44</v>
      </c>
      <c r="L57" s="15">
        <v>4405426.19</v>
      </c>
      <c r="M57" s="15">
        <f t="shared" si="8"/>
        <v>607859.2600000002</v>
      </c>
      <c r="N57" s="15"/>
      <c r="O57" s="15">
        <v>0</v>
      </c>
      <c r="P57" s="15">
        <v>3797566.93</v>
      </c>
      <c r="Q57" s="15">
        <v>3778466.93</v>
      </c>
      <c r="R57" s="15">
        <f t="shared" si="4"/>
        <v>85.92306312810705</v>
      </c>
      <c r="S57" s="16">
        <f t="shared" si="22"/>
        <v>72016266.22</v>
      </c>
      <c r="T57" s="31">
        <f t="shared" si="22"/>
        <v>72016266.22</v>
      </c>
      <c r="U57" s="15">
        <f t="shared" si="5"/>
        <v>69282865.35</v>
      </c>
      <c r="V57" s="15">
        <f t="shared" si="6"/>
        <v>96.20446738845105</v>
      </c>
    </row>
    <row r="58" spans="1:22" s="21" customFormat="1" ht="42.75">
      <c r="A58" s="17" t="s">
        <v>18</v>
      </c>
      <c r="B58" s="19" t="s">
        <v>96</v>
      </c>
      <c r="C58" s="15">
        <v>3210635</v>
      </c>
      <c r="D58" s="15">
        <v>3210635</v>
      </c>
      <c r="E58" s="15">
        <v>3149343.13</v>
      </c>
      <c r="F58" s="15">
        <f t="shared" si="7"/>
        <v>3149343.13</v>
      </c>
      <c r="G58" s="15">
        <f>2333718.48+540000</f>
        <v>2873718.48</v>
      </c>
      <c r="H58" s="15">
        <f>51014.65+5600+15829.93+59218.46</f>
        <v>131663.04</v>
      </c>
      <c r="I58" s="16">
        <f t="shared" si="1"/>
        <v>98.09097359245133</v>
      </c>
      <c r="J58" s="15">
        <v>200</v>
      </c>
      <c r="K58" s="31">
        <v>200</v>
      </c>
      <c r="L58" s="15">
        <v>0</v>
      </c>
      <c r="M58" s="15">
        <f t="shared" si="8"/>
        <v>0</v>
      </c>
      <c r="N58" s="15"/>
      <c r="O58" s="15"/>
      <c r="P58" s="15"/>
      <c r="Q58" s="15"/>
      <c r="R58" s="15">
        <f t="shared" si="4"/>
        <v>0</v>
      </c>
      <c r="S58" s="16">
        <f t="shared" si="22"/>
        <v>3210835</v>
      </c>
      <c r="T58" s="31">
        <f t="shared" si="22"/>
        <v>3210835</v>
      </c>
      <c r="U58" s="15">
        <f t="shared" si="5"/>
        <v>3149343.13</v>
      </c>
      <c r="V58" s="15">
        <f t="shared" si="6"/>
        <v>98.08486359467241</v>
      </c>
    </row>
    <row r="59" spans="1:22" s="21" customFormat="1" ht="57">
      <c r="A59" s="17" t="s">
        <v>85</v>
      </c>
      <c r="B59" s="19" t="s">
        <v>97</v>
      </c>
      <c r="C59" s="15">
        <v>3447585</v>
      </c>
      <c r="D59" s="15">
        <v>3447585</v>
      </c>
      <c r="E59" s="15">
        <v>3443072.95</v>
      </c>
      <c r="F59" s="15">
        <f t="shared" si="7"/>
        <v>3443072.95</v>
      </c>
      <c r="G59" s="15">
        <f>2693433.47+607000</f>
        <v>3300433.47</v>
      </c>
      <c r="H59" s="15">
        <f>1247.65+4210+65443.23+258.27</f>
        <v>71159.15000000001</v>
      </c>
      <c r="I59" s="16">
        <f t="shared" si="1"/>
        <v>99.86912432905933</v>
      </c>
      <c r="J59" s="15">
        <v>64102.93</v>
      </c>
      <c r="K59" s="31">
        <v>64102.93</v>
      </c>
      <c r="L59" s="15">
        <v>42919</v>
      </c>
      <c r="M59" s="15">
        <f t="shared" si="8"/>
        <v>36219</v>
      </c>
      <c r="N59" s="15">
        <v>0</v>
      </c>
      <c r="O59" s="15"/>
      <c r="P59" s="15">
        <v>6700</v>
      </c>
      <c r="Q59" s="15">
        <v>0</v>
      </c>
      <c r="R59" s="15">
        <f t="shared" si="4"/>
        <v>66.9532578308043</v>
      </c>
      <c r="S59" s="16">
        <f t="shared" si="22"/>
        <v>3511687.93</v>
      </c>
      <c r="T59" s="31">
        <f t="shared" si="22"/>
        <v>3511687.93</v>
      </c>
      <c r="U59" s="15">
        <f t="shared" si="5"/>
        <v>3485991.95</v>
      </c>
      <c r="V59" s="15">
        <f t="shared" si="6"/>
        <v>99.2682726793437</v>
      </c>
    </row>
    <row r="60" spans="1:22" s="21" customFormat="1" ht="28.5">
      <c r="A60" s="17" t="s">
        <v>86</v>
      </c>
      <c r="B60" s="19" t="s">
        <v>98</v>
      </c>
      <c r="C60" s="15">
        <v>595480</v>
      </c>
      <c r="D60" s="15">
        <v>595480</v>
      </c>
      <c r="E60" s="15">
        <v>593235.12</v>
      </c>
      <c r="F60" s="15">
        <f t="shared" si="7"/>
        <v>593235.12</v>
      </c>
      <c r="G60" s="15">
        <f>468304.49+104500</f>
        <v>572804.49</v>
      </c>
      <c r="H60" s="15"/>
      <c r="I60" s="16">
        <f t="shared" si="1"/>
        <v>99.62301336736749</v>
      </c>
      <c r="J60" s="15">
        <v>0</v>
      </c>
      <c r="K60" s="31"/>
      <c r="L60" s="15">
        <v>0</v>
      </c>
      <c r="M60" s="15">
        <f t="shared" si="8"/>
        <v>0</v>
      </c>
      <c r="N60" s="15"/>
      <c r="O60" s="15"/>
      <c r="P60" s="15"/>
      <c r="Q60" s="15"/>
      <c r="R60" s="15" t="e">
        <f t="shared" si="4"/>
        <v>#DIV/0!</v>
      </c>
      <c r="S60" s="16">
        <f t="shared" si="22"/>
        <v>595480</v>
      </c>
      <c r="T60" s="31">
        <f t="shared" si="22"/>
        <v>595480</v>
      </c>
      <c r="U60" s="15">
        <f t="shared" si="5"/>
        <v>593235.12</v>
      </c>
      <c r="V60" s="15">
        <f t="shared" si="6"/>
        <v>99.62301336736749</v>
      </c>
    </row>
    <row r="61" spans="1:22" s="21" customFormat="1" ht="14.25">
      <c r="A61" s="17" t="s">
        <v>87</v>
      </c>
      <c r="B61" s="19" t="s">
        <v>99</v>
      </c>
      <c r="C61" s="15">
        <f>C62+C63</f>
        <v>1848586</v>
      </c>
      <c r="D61" s="15">
        <f aca="true" t="shared" si="25" ref="D61:Q61">D62+D63</f>
        <v>1848586</v>
      </c>
      <c r="E61" s="15">
        <f>E62+E63</f>
        <v>1846503.93</v>
      </c>
      <c r="F61" s="15">
        <f t="shared" si="7"/>
        <v>1846503.93</v>
      </c>
      <c r="G61" s="15">
        <f t="shared" si="25"/>
        <v>1599394.38</v>
      </c>
      <c r="H61" s="15">
        <f t="shared" si="25"/>
        <v>44740.92</v>
      </c>
      <c r="I61" s="16">
        <f t="shared" si="1"/>
        <v>99.88736958951327</v>
      </c>
      <c r="J61" s="15">
        <f t="shared" si="25"/>
        <v>0</v>
      </c>
      <c r="K61" s="15">
        <f t="shared" si="25"/>
        <v>0</v>
      </c>
      <c r="L61" s="15">
        <f>L62+L63</f>
        <v>0</v>
      </c>
      <c r="M61" s="15">
        <f t="shared" si="8"/>
        <v>0</v>
      </c>
      <c r="N61" s="15">
        <f t="shared" si="25"/>
        <v>0</v>
      </c>
      <c r="O61" s="15">
        <f t="shared" si="25"/>
        <v>0</v>
      </c>
      <c r="P61" s="15">
        <f t="shared" si="25"/>
        <v>0</v>
      </c>
      <c r="Q61" s="15">
        <f t="shared" si="25"/>
        <v>0</v>
      </c>
      <c r="R61" s="15" t="e">
        <f t="shared" si="4"/>
        <v>#DIV/0!</v>
      </c>
      <c r="S61" s="16">
        <f t="shared" si="22"/>
        <v>1848586</v>
      </c>
      <c r="T61" s="31">
        <f t="shared" si="22"/>
        <v>1848586</v>
      </c>
      <c r="U61" s="15">
        <f t="shared" si="5"/>
        <v>1846503.93</v>
      </c>
      <c r="V61" s="15">
        <f t="shared" si="6"/>
        <v>99.88736958951327</v>
      </c>
    </row>
    <row r="62" spans="1:22" s="11" customFormat="1" ht="30">
      <c r="A62" s="35" t="s">
        <v>88</v>
      </c>
      <c r="B62" s="36" t="s">
        <v>100</v>
      </c>
      <c r="C62" s="20">
        <v>1771579</v>
      </c>
      <c r="D62" s="20">
        <v>1771579</v>
      </c>
      <c r="E62" s="20">
        <v>1769497.75</v>
      </c>
      <c r="F62" s="20">
        <f t="shared" si="7"/>
        <v>1769497.75</v>
      </c>
      <c r="G62" s="20">
        <f>1310192.38+289202</f>
        <v>1599394.38</v>
      </c>
      <c r="H62" s="20">
        <f>30900+1763.39+12000+77.53</f>
        <v>44740.92</v>
      </c>
      <c r="I62" s="33">
        <f t="shared" si="1"/>
        <v>99.88252005696613</v>
      </c>
      <c r="J62" s="20">
        <v>0</v>
      </c>
      <c r="K62" s="32">
        <v>0</v>
      </c>
      <c r="L62" s="20">
        <v>0</v>
      </c>
      <c r="M62" s="20">
        <f t="shared" si="8"/>
        <v>0</v>
      </c>
      <c r="N62" s="20"/>
      <c r="O62" s="20"/>
      <c r="P62" s="20">
        <v>0</v>
      </c>
      <c r="Q62" s="20">
        <v>0</v>
      </c>
      <c r="R62" s="15" t="e">
        <f t="shared" si="4"/>
        <v>#DIV/0!</v>
      </c>
      <c r="S62" s="16">
        <f t="shared" si="22"/>
        <v>1771579</v>
      </c>
      <c r="T62" s="31">
        <f t="shared" si="22"/>
        <v>1771579</v>
      </c>
      <c r="U62" s="15">
        <f t="shared" si="5"/>
        <v>1769497.75</v>
      </c>
      <c r="V62" s="20">
        <f t="shared" si="6"/>
        <v>99.88252005696613</v>
      </c>
    </row>
    <row r="63" spans="1:22" s="11" customFormat="1" ht="15">
      <c r="A63" s="35" t="s">
        <v>89</v>
      </c>
      <c r="B63" s="36" t="s">
        <v>101</v>
      </c>
      <c r="C63" s="20">
        <v>77007</v>
      </c>
      <c r="D63" s="20">
        <v>77007</v>
      </c>
      <c r="E63" s="20">
        <v>77006.18</v>
      </c>
      <c r="F63" s="20">
        <f t="shared" si="7"/>
        <v>77006.18</v>
      </c>
      <c r="G63" s="20"/>
      <c r="H63" s="20"/>
      <c r="I63" s="33">
        <f t="shared" si="1"/>
        <v>99.99893516173853</v>
      </c>
      <c r="J63" s="20">
        <v>0</v>
      </c>
      <c r="K63" s="32"/>
      <c r="L63" s="20">
        <v>0</v>
      </c>
      <c r="M63" s="20">
        <f t="shared" si="8"/>
        <v>0</v>
      </c>
      <c r="N63" s="20"/>
      <c r="O63" s="20"/>
      <c r="P63" s="20"/>
      <c r="Q63" s="20"/>
      <c r="R63" s="15" t="e">
        <f t="shared" si="4"/>
        <v>#DIV/0!</v>
      </c>
      <c r="S63" s="16">
        <f t="shared" si="22"/>
        <v>77007</v>
      </c>
      <c r="T63" s="31">
        <f t="shared" si="22"/>
        <v>77007</v>
      </c>
      <c r="U63" s="15">
        <f t="shared" si="5"/>
        <v>77006.18</v>
      </c>
      <c r="V63" s="20">
        <f t="shared" si="6"/>
        <v>99.99893516173853</v>
      </c>
    </row>
    <row r="64" spans="1:22" s="21" customFormat="1" ht="15">
      <c r="A64" s="17" t="s">
        <v>152</v>
      </c>
      <c r="B64" s="19" t="s">
        <v>151</v>
      </c>
      <c r="C64" s="15">
        <v>735456</v>
      </c>
      <c r="D64" s="15">
        <v>735456</v>
      </c>
      <c r="E64" s="15">
        <v>482446.18</v>
      </c>
      <c r="F64" s="20">
        <f t="shared" si="7"/>
        <v>482446.18</v>
      </c>
      <c r="G64" s="15">
        <f>382547.68+95883.5</f>
        <v>478431.18</v>
      </c>
      <c r="H64" s="15"/>
      <c r="I64" s="16"/>
      <c r="J64" s="15">
        <v>5846.4</v>
      </c>
      <c r="K64" s="31">
        <v>5846.4</v>
      </c>
      <c r="L64" s="15">
        <v>5846.4</v>
      </c>
      <c r="M64" s="15">
        <f t="shared" si="8"/>
        <v>5846.4</v>
      </c>
      <c r="N64" s="15"/>
      <c r="O64" s="15"/>
      <c r="P64" s="15"/>
      <c r="Q64" s="15"/>
      <c r="R64" s="15">
        <f t="shared" si="4"/>
        <v>100</v>
      </c>
      <c r="S64" s="16">
        <f t="shared" si="22"/>
        <v>741302.4</v>
      </c>
      <c r="T64" s="31">
        <f t="shared" si="22"/>
        <v>741302.4</v>
      </c>
      <c r="U64" s="15">
        <f t="shared" si="5"/>
        <v>488292.58</v>
      </c>
      <c r="V64" s="15">
        <f t="shared" si="6"/>
        <v>65.86955336985284</v>
      </c>
    </row>
    <row r="65" spans="1:22" s="21" customFormat="1" ht="28.5">
      <c r="A65" s="17" t="s">
        <v>90</v>
      </c>
      <c r="B65" s="19" t="s">
        <v>102</v>
      </c>
      <c r="C65" s="15">
        <f>C66</f>
        <v>1375737.49</v>
      </c>
      <c r="D65" s="15">
        <f aca="true" t="shared" si="26" ref="D65:Q65">D66</f>
        <v>1375737.49</v>
      </c>
      <c r="E65" s="15">
        <f>E66</f>
        <v>1356427.86</v>
      </c>
      <c r="F65" s="15">
        <f t="shared" si="7"/>
        <v>1356427.86</v>
      </c>
      <c r="G65" s="15">
        <f t="shared" si="26"/>
        <v>1208129.2</v>
      </c>
      <c r="H65" s="15">
        <f t="shared" si="26"/>
        <v>0</v>
      </c>
      <c r="I65" s="16">
        <f t="shared" si="1"/>
        <v>98.59641609388721</v>
      </c>
      <c r="J65" s="15">
        <f t="shared" si="26"/>
        <v>0</v>
      </c>
      <c r="K65" s="15">
        <f t="shared" si="26"/>
        <v>0</v>
      </c>
      <c r="L65" s="15">
        <f t="shared" si="26"/>
        <v>0</v>
      </c>
      <c r="M65" s="15">
        <f t="shared" si="8"/>
        <v>0</v>
      </c>
      <c r="N65" s="15">
        <f t="shared" si="26"/>
        <v>0</v>
      </c>
      <c r="O65" s="15">
        <f t="shared" si="26"/>
        <v>0</v>
      </c>
      <c r="P65" s="15">
        <f t="shared" si="26"/>
        <v>0</v>
      </c>
      <c r="Q65" s="15">
        <f t="shared" si="26"/>
        <v>0</v>
      </c>
      <c r="R65" s="15" t="e">
        <f t="shared" si="4"/>
        <v>#DIV/0!</v>
      </c>
      <c r="S65" s="16">
        <f t="shared" si="22"/>
        <v>1375737.49</v>
      </c>
      <c r="T65" s="31">
        <f t="shared" si="22"/>
        <v>1375737.49</v>
      </c>
      <c r="U65" s="15">
        <f t="shared" si="5"/>
        <v>1356427.86</v>
      </c>
      <c r="V65" s="15">
        <f t="shared" si="6"/>
        <v>98.59641609388721</v>
      </c>
    </row>
    <row r="66" spans="1:22" s="11" customFormat="1" ht="30">
      <c r="A66" s="35" t="s">
        <v>15</v>
      </c>
      <c r="B66" s="36" t="s">
        <v>103</v>
      </c>
      <c r="C66" s="20">
        <v>1375737.49</v>
      </c>
      <c r="D66" s="20">
        <v>1375737.49</v>
      </c>
      <c r="E66" s="20">
        <v>1356427.86</v>
      </c>
      <c r="F66" s="20">
        <f t="shared" si="7"/>
        <v>1356427.86</v>
      </c>
      <c r="G66" s="20">
        <f>983509.93+224619.27</f>
        <v>1208129.2</v>
      </c>
      <c r="H66" s="20"/>
      <c r="I66" s="33">
        <f t="shared" si="1"/>
        <v>98.59641609388721</v>
      </c>
      <c r="J66" s="20">
        <v>0</v>
      </c>
      <c r="K66" s="37"/>
      <c r="L66" s="20">
        <v>0</v>
      </c>
      <c r="M66" s="20">
        <f t="shared" si="8"/>
        <v>0</v>
      </c>
      <c r="N66" s="20"/>
      <c r="O66" s="20"/>
      <c r="P66" s="20"/>
      <c r="Q66" s="20"/>
      <c r="R66" s="15" t="e">
        <f t="shared" si="4"/>
        <v>#DIV/0!</v>
      </c>
      <c r="S66" s="16">
        <f t="shared" si="22"/>
        <v>1375737.49</v>
      </c>
      <c r="T66" s="31">
        <f t="shared" si="22"/>
        <v>1375737.49</v>
      </c>
      <c r="U66" s="15">
        <f t="shared" si="5"/>
        <v>1356427.86</v>
      </c>
      <c r="V66" s="20">
        <f t="shared" si="6"/>
        <v>98.59641609388721</v>
      </c>
    </row>
    <row r="67" spans="1:22" s="21" customFormat="1" ht="42.75">
      <c r="A67" s="17" t="s">
        <v>162</v>
      </c>
      <c r="B67" s="19" t="s">
        <v>155</v>
      </c>
      <c r="C67" s="15"/>
      <c r="D67" s="15"/>
      <c r="E67" s="15"/>
      <c r="F67" s="15"/>
      <c r="G67" s="15"/>
      <c r="H67" s="15"/>
      <c r="I67" s="16"/>
      <c r="J67" s="15">
        <v>1533000</v>
      </c>
      <c r="K67" s="16">
        <v>1533000</v>
      </c>
      <c r="L67" s="15">
        <v>1532650.93</v>
      </c>
      <c r="M67" s="15">
        <f t="shared" si="8"/>
        <v>0</v>
      </c>
      <c r="N67" s="15"/>
      <c r="O67" s="15"/>
      <c r="P67" s="15">
        <v>1532650.93</v>
      </c>
      <c r="Q67" s="15">
        <v>1532650.93</v>
      </c>
      <c r="R67" s="15"/>
      <c r="S67" s="16"/>
      <c r="T67" s="31"/>
      <c r="U67" s="15"/>
      <c r="V67" s="15"/>
    </row>
    <row r="68" spans="1:22" s="21" customFormat="1" ht="14.25">
      <c r="A68" s="17" t="s">
        <v>42</v>
      </c>
      <c r="B68" s="19" t="s">
        <v>104</v>
      </c>
      <c r="C68" s="15">
        <f>C71</f>
        <v>0</v>
      </c>
      <c r="D68" s="15">
        <f>D71</f>
        <v>0</v>
      </c>
      <c r="E68" s="15">
        <f>E71</f>
        <v>0</v>
      </c>
      <c r="F68" s="15">
        <f t="shared" si="7"/>
        <v>0</v>
      </c>
      <c r="G68" s="15">
        <f>G71</f>
        <v>0</v>
      </c>
      <c r="H68" s="15">
        <f>H71</f>
        <v>0</v>
      </c>
      <c r="I68" s="16" t="e">
        <f t="shared" si="1"/>
        <v>#DIV/0!</v>
      </c>
      <c r="J68" s="15">
        <f>J71+J69+J70</f>
        <v>3359098.37</v>
      </c>
      <c r="K68" s="15">
        <f aca="true" t="shared" si="27" ref="K68:Q68">K71+K69+K70</f>
        <v>3359098.37</v>
      </c>
      <c r="L68" s="15">
        <f t="shared" si="27"/>
        <v>3042243.24</v>
      </c>
      <c r="M68" s="15">
        <f t="shared" si="27"/>
        <v>0</v>
      </c>
      <c r="N68" s="15">
        <f t="shared" si="27"/>
        <v>0</v>
      </c>
      <c r="O68" s="15">
        <f t="shared" si="27"/>
        <v>0</v>
      </c>
      <c r="P68" s="15">
        <f t="shared" si="27"/>
        <v>3042243.24</v>
      </c>
      <c r="Q68" s="15">
        <f t="shared" si="27"/>
        <v>3042243.24</v>
      </c>
      <c r="R68" s="15">
        <f t="shared" si="4"/>
        <v>90.5672565939175</v>
      </c>
      <c r="S68" s="16">
        <f t="shared" si="22"/>
        <v>3359098.37</v>
      </c>
      <c r="T68" s="31">
        <f t="shared" si="22"/>
        <v>3359098.37</v>
      </c>
      <c r="U68" s="15">
        <f t="shared" si="5"/>
        <v>3042243.24</v>
      </c>
      <c r="V68" s="15">
        <f t="shared" si="6"/>
        <v>90.5672565939175</v>
      </c>
    </row>
    <row r="69" spans="1:22" s="11" customFormat="1" ht="45">
      <c r="A69" s="35" t="s">
        <v>148</v>
      </c>
      <c r="B69" s="44" t="s">
        <v>158</v>
      </c>
      <c r="C69" s="20"/>
      <c r="D69" s="20"/>
      <c r="E69" s="20"/>
      <c r="F69" s="20"/>
      <c r="G69" s="20"/>
      <c r="H69" s="20"/>
      <c r="I69" s="33"/>
      <c r="J69" s="20">
        <v>127100</v>
      </c>
      <c r="K69" s="20">
        <v>127100</v>
      </c>
      <c r="L69" s="20">
        <v>98791.33</v>
      </c>
      <c r="M69" s="20"/>
      <c r="N69" s="20"/>
      <c r="O69" s="20"/>
      <c r="P69" s="20">
        <v>98791.33</v>
      </c>
      <c r="Q69" s="20">
        <v>98791.33</v>
      </c>
      <c r="R69" s="15">
        <f t="shared" si="4"/>
        <v>77.72724626278521</v>
      </c>
      <c r="S69" s="16">
        <f t="shared" si="22"/>
        <v>127100</v>
      </c>
      <c r="T69" s="31">
        <f t="shared" si="22"/>
        <v>127100</v>
      </c>
      <c r="U69" s="15">
        <f t="shared" si="5"/>
        <v>98791.33</v>
      </c>
      <c r="V69" s="20">
        <f>U69/T69*100</f>
        <v>77.72724626278521</v>
      </c>
    </row>
    <row r="70" spans="1:22" s="11" customFormat="1" ht="45">
      <c r="A70" s="35" t="s">
        <v>163</v>
      </c>
      <c r="B70" s="44" t="s">
        <v>159</v>
      </c>
      <c r="C70" s="20"/>
      <c r="D70" s="20"/>
      <c r="E70" s="20"/>
      <c r="F70" s="20"/>
      <c r="G70" s="20"/>
      <c r="H70" s="20"/>
      <c r="I70" s="33"/>
      <c r="J70" s="20">
        <v>193060</v>
      </c>
      <c r="K70" s="20">
        <v>193060</v>
      </c>
      <c r="L70" s="20">
        <v>186508.68</v>
      </c>
      <c r="M70" s="20"/>
      <c r="N70" s="20"/>
      <c r="O70" s="20"/>
      <c r="P70" s="20">
        <v>186508.68</v>
      </c>
      <c r="Q70" s="20">
        <v>186508.68</v>
      </c>
      <c r="R70" s="15">
        <f t="shared" si="4"/>
        <v>96.60658862529783</v>
      </c>
      <c r="S70" s="16">
        <f t="shared" si="22"/>
        <v>193060</v>
      </c>
      <c r="T70" s="31"/>
      <c r="U70" s="15">
        <f t="shared" si="5"/>
        <v>186508.68</v>
      </c>
      <c r="V70" s="20"/>
    </row>
    <row r="71" spans="1:22" s="11" customFormat="1" ht="45">
      <c r="A71" s="35" t="s">
        <v>43</v>
      </c>
      <c r="B71" s="36" t="s">
        <v>105</v>
      </c>
      <c r="C71" s="20">
        <v>0</v>
      </c>
      <c r="D71" s="20">
        <v>0</v>
      </c>
      <c r="E71" s="20">
        <v>0</v>
      </c>
      <c r="F71" s="20">
        <f t="shared" si="7"/>
        <v>0</v>
      </c>
      <c r="G71" s="20"/>
      <c r="H71" s="20"/>
      <c r="I71" s="33" t="e">
        <f t="shared" si="1"/>
        <v>#DIV/0!</v>
      </c>
      <c r="J71" s="20">
        <v>3038938.37</v>
      </c>
      <c r="K71" s="32">
        <v>3038938.37</v>
      </c>
      <c r="L71" s="20">
        <v>2756943.23</v>
      </c>
      <c r="M71" s="20">
        <f t="shared" si="8"/>
        <v>0</v>
      </c>
      <c r="N71" s="20"/>
      <c r="O71" s="20"/>
      <c r="P71" s="20">
        <v>2756943.23</v>
      </c>
      <c r="Q71" s="20">
        <v>2756943.23</v>
      </c>
      <c r="R71" s="15">
        <f t="shared" si="4"/>
        <v>90.72060352444726</v>
      </c>
      <c r="S71" s="16">
        <f t="shared" si="22"/>
        <v>3038938.37</v>
      </c>
      <c r="T71" s="31">
        <f t="shared" si="22"/>
        <v>3038938.37</v>
      </c>
      <c r="U71" s="15">
        <f t="shared" si="5"/>
        <v>2756943.23</v>
      </c>
      <c r="V71" s="20">
        <f t="shared" si="6"/>
        <v>90.72060352444726</v>
      </c>
    </row>
    <row r="72" spans="1:22" s="21" customFormat="1" ht="14.25">
      <c r="A72" s="17" t="s">
        <v>106</v>
      </c>
      <c r="B72" s="19" t="s">
        <v>117</v>
      </c>
      <c r="C72" s="15">
        <f>C73</f>
        <v>11810281</v>
      </c>
      <c r="D72" s="15">
        <f aca="true" t="shared" si="28" ref="D72:Q72">D73</f>
        <v>11810281</v>
      </c>
      <c r="E72" s="15">
        <f>E73</f>
        <v>11396201.05</v>
      </c>
      <c r="F72" s="15">
        <f t="shared" si="7"/>
        <v>11396201.05</v>
      </c>
      <c r="G72" s="15">
        <f t="shared" si="28"/>
        <v>8481556.71</v>
      </c>
      <c r="H72" s="15">
        <f t="shared" si="28"/>
        <v>750483.89</v>
      </c>
      <c r="I72" s="16">
        <f t="shared" si="1"/>
        <v>96.49390264295998</v>
      </c>
      <c r="J72" s="15">
        <f t="shared" si="28"/>
        <v>1445884.66</v>
      </c>
      <c r="K72" s="15">
        <f t="shared" si="28"/>
        <v>1445884.66</v>
      </c>
      <c r="L72" s="15">
        <f t="shared" si="28"/>
        <v>1339955.29</v>
      </c>
      <c r="M72" s="15">
        <f t="shared" si="8"/>
        <v>300878.22</v>
      </c>
      <c r="N72" s="15">
        <f t="shared" si="28"/>
        <v>80789.81999999999</v>
      </c>
      <c r="O72" s="15">
        <f t="shared" si="28"/>
        <v>0</v>
      </c>
      <c r="P72" s="15">
        <f t="shared" si="28"/>
        <v>1039077.0700000001</v>
      </c>
      <c r="Q72" s="15">
        <f t="shared" si="28"/>
        <v>906678.5800000001</v>
      </c>
      <c r="R72" s="15">
        <f t="shared" si="4"/>
        <v>92.67373304866517</v>
      </c>
      <c r="S72" s="16">
        <f t="shared" si="22"/>
        <v>13256165.66</v>
      </c>
      <c r="T72" s="31">
        <f t="shared" si="22"/>
        <v>13256165.66</v>
      </c>
      <c r="U72" s="15">
        <f t="shared" si="5"/>
        <v>12736156.34</v>
      </c>
      <c r="V72" s="15">
        <f t="shared" si="6"/>
        <v>96.07722675366746</v>
      </c>
    </row>
    <row r="73" spans="1:22" s="21" customFormat="1" ht="28.5">
      <c r="A73" s="17" t="s">
        <v>107</v>
      </c>
      <c r="B73" s="19" t="s">
        <v>118</v>
      </c>
      <c r="C73" s="15">
        <f aca="true" t="shared" si="29" ref="C73:H73">C74+C76+C77+C78+C75</f>
        <v>11810281</v>
      </c>
      <c r="D73" s="15">
        <f t="shared" si="29"/>
        <v>11810281</v>
      </c>
      <c r="E73" s="15">
        <f t="shared" si="29"/>
        <v>11396201.05</v>
      </c>
      <c r="F73" s="15">
        <f t="shared" si="29"/>
        <v>8851740.89</v>
      </c>
      <c r="G73" s="15">
        <f t="shared" si="29"/>
        <v>8481556.71</v>
      </c>
      <c r="H73" s="15">
        <f t="shared" si="29"/>
        <v>750483.89</v>
      </c>
      <c r="I73" s="16">
        <f t="shared" si="1"/>
        <v>96.49390264295998</v>
      </c>
      <c r="J73" s="15">
        <f aca="true" t="shared" si="30" ref="J73:Q73">J74+J76+J77+J78+J75+J81</f>
        <v>1445884.66</v>
      </c>
      <c r="K73" s="15">
        <f t="shared" si="30"/>
        <v>1445884.66</v>
      </c>
      <c r="L73" s="15">
        <f t="shared" si="30"/>
        <v>1339955.29</v>
      </c>
      <c r="M73" s="15">
        <f t="shared" si="30"/>
        <v>300878.22</v>
      </c>
      <c r="N73" s="15">
        <f t="shared" si="30"/>
        <v>80789.81999999999</v>
      </c>
      <c r="O73" s="15">
        <f t="shared" si="30"/>
        <v>0</v>
      </c>
      <c r="P73" s="15">
        <f t="shared" si="30"/>
        <v>1039077.0700000001</v>
      </c>
      <c r="Q73" s="15">
        <f t="shared" si="30"/>
        <v>906678.5800000001</v>
      </c>
      <c r="R73" s="15">
        <f t="shared" si="4"/>
        <v>92.67373304866517</v>
      </c>
      <c r="S73" s="16">
        <f t="shared" si="22"/>
        <v>13256165.66</v>
      </c>
      <c r="T73" s="31">
        <f t="shared" si="22"/>
        <v>13256165.66</v>
      </c>
      <c r="U73" s="15">
        <f t="shared" si="5"/>
        <v>12736156.34</v>
      </c>
      <c r="V73" s="15">
        <f t="shared" si="6"/>
        <v>96.07722675366746</v>
      </c>
    </row>
    <row r="74" spans="1:22" s="21" customFormat="1" ht="42.75">
      <c r="A74" s="17" t="s">
        <v>22</v>
      </c>
      <c r="B74" s="19" t="s">
        <v>119</v>
      </c>
      <c r="C74" s="15">
        <v>692336</v>
      </c>
      <c r="D74" s="15">
        <v>692336</v>
      </c>
      <c r="E74" s="15">
        <v>690516.85</v>
      </c>
      <c r="F74" s="15">
        <f t="shared" si="7"/>
        <v>690516.85</v>
      </c>
      <c r="G74" s="15">
        <f>498132.31+109624.42</f>
        <v>607756.73</v>
      </c>
      <c r="H74" s="15">
        <f>1500+400</f>
        <v>1900</v>
      </c>
      <c r="I74" s="16">
        <f t="shared" si="1"/>
        <v>99.7372446326639</v>
      </c>
      <c r="J74" s="15">
        <v>0</v>
      </c>
      <c r="K74" s="16">
        <v>0</v>
      </c>
      <c r="L74" s="15">
        <v>0</v>
      </c>
      <c r="M74" s="15">
        <f t="shared" si="8"/>
        <v>0</v>
      </c>
      <c r="N74" s="15"/>
      <c r="O74" s="15"/>
      <c r="P74" s="15">
        <v>0</v>
      </c>
      <c r="Q74" s="15">
        <v>0</v>
      </c>
      <c r="R74" s="15" t="e">
        <f t="shared" si="4"/>
        <v>#DIV/0!</v>
      </c>
      <c r="S74" s="16">
        <f t="shared" si="22"/>
        <v>692336</v>
      </c>
      <c r="T74" s="31">
        <f t="shared" si="22"/>
        <v>692336</v>
      </c>
      <c r="U74" s="15">
        <f t="shared" si="5"/>
        <v>690516.85</v>
      </c>
      <c r="V74" s="15">
        <f t="shared" si="6"/>
        <v>99.7372446326639</v>
      </c>
    </row>
    <row r="75" spans="1:22" s="21" customFormat="1" ht="14.25">
      <c r="A75" s="17" t="s">
        <v>153</v>
      </c>
      <c r="B75" s="19" t="s">
        <v>154</v>
      </c>
      <c r="C75" s="15">
        <v>2604051</v>
      </c>
      <c r="D75" s="15">
        <v>2604051</v>
      </c>
      <c r="E75" s="15">
        <v>2544460.16</v>
      </c>
      <c r="F75" s="15"/>
      <c r="G75" s="15">
        <f>1881271.5+428775.16</f>
        <v>2310046.66</v>
      </c>
      <c r="H75" s="15">
        <f>14646.93+912.95+14104.22+6750</f>
        <v>36414.1</v>
      </c>
      <c r="I75" s="16"/>
      <c r="J75" s="15">
        <v>285702.49</v>
      </c>
      <c r="K75" s="16">
        <v>285702.49</v>
      </c>
      <c r="L75" s="15">
        <v>285429.77</v>
      </c>
      <c r="M75" s="15"/>
      <c r="N75" s="15"/>
      <c r="O75" s="15"/>
      <c r="P75" s="15">
        <v>285429.77</v>
      </c>
      <c r="Q75" s="15">
        <v>186901.28</v>
      </c>
      <c r="R75" s="15">
        <f t="shared" si="4"/>
        <v>99.90454405910148</v>
      </c>
      <c r="S75" s="16">
        <f t="shared" si="22"/>
        <v>2889753.49</v>
      </c>
      <c r="T75" s="31">
        <f t="shared" si="22"/>
        <v>2889753.49</v>
      </c>
      <c r="U75" s="15">
        <f t="shared" si="5"/>
        <v>2829889.93</v>
      </c>
      <c r="V75" s="15">
        <f t="shared" si="6"/>
        <v>97.92841983902233</v>
      </c>
    </row>
    <row r="76" spans="1:22" s="21" customFormat="1" ht="14.25">
      <c r="A76" s="17" t="s">
        <v>108</v>
      </c>
      <c r="B76" s="19" t="s">
        <v>120</v>
      </c>
      <c r="C76" s="15">
        <v>352300</v>
      </c>
      <c r="D76" s="15">
        <v>352300</v>
      </c>
      <c r="E76" s="15">
        <v>345990.84</v>
      </c>
      <c r="F76" s="15">
        <f t="shared" si="7"/>
        <v>345990.84</v>
      </c>
      <c r="G76" s="15">
        <f>254461.14+61651.18</f>
        <v>316112.32</v>
      </c>
      <c r="H76" s="15">
        <f>2866.06+10000</f>
        <v>12866.06</v>
      </c>
      <c r="I76" s="16">
        <f t="shared" si="1"/>
        <v>98.20915129151292</v>
      </c>
      <c r="J76" s="15">
        <v>13596</v>
      </c>
      <c r="K76" s="50">
        <v>13596</v>
      </c>
      <c r="L76" s="15">
        <v>13095.5</v>
      </c>
      <c r="M76" s="15">
        <f t="shared" si="8"/>
        <v>13095.5</v>
      </c>
      <c r="N76" s="15"/>
      <c r="O76" s="15"/>
      <c r="P76" s="15"/>
      <c r="Q76" s="15"/>
      <c r="R76" s="15">
        <f t="shared" si="4"/>
        <v>96.31877022653723</v>
      </c>
      <c r="S76" s="16">
        <f t="shared" si="22"/>
        <v>365896</v>
      </c>
      <c r="T76" s="31">
        <f t="shared" si="22"/>
        <v>365896</v>
      </c>
      <c r="U76" s="15">
        <f t="shared" si="5"/>
        <v>359086.34</v>
      </c>
      <c r="V76" s="15">
        <f t="shared" si="6"/>
        <v>98.13890832367667</v>
      </c>
    </row>
    <row r="77" spans="1:22" s="21" customFormat="1" ht="42.75">
      <c r="A77" s="17" t="s">
        <v>109</v>
      </c>
      <c r="B77" s="19" t="s">
        <v>121</v>
      </c>
      <c r="C77" s="15">
        <v>6737574</v>
      </c>
      <c r="D77" s="15">
        <v>6737574</v>
      </c>
      <c r="E77" s="15">
        <v>6399634.23</v>
      </c>
      <c r="F77" s="15">
        <f t="shared" si="7"/>
        <v>6399634.23</v>
      </c>
      <c r="G77" s="15">
        <f>3794503.51+907622.7</f>
        <v>4702126.21</v>
      </c>
      <c r="H77" s="15">
        <f>310678.98+11884.32+227467.06+144598.06</f>
        <v>694628.4199999999</v>
      </c>
      <c r="I77" s="16">
        <f t="shared" si="1"/>
        <v>94.98425145311948</v>
      </c>
      <c r="J77" s="15">
        <v>537636.07</v>
      </c>
      <c r="K77" s="51">
        <v>537636.07</v>
      </c>
      <c r="L77" s="15">
        <v>448330.72</v>
      </c>
      <c r="M77" s="15">
        <f t="shared" si="8"/>
        <v>287782.72</v>
      </c>
      <c r="N77" s="15">
        <f>54674.27+26115.55</f>
        <v>80789.81999999999</v>
      </c>
      <c r="O77" s="15"/>
      <c r="P77" s="15">
        <v>160548</v>
      </c>
      <c r="Q77" s="15">
        <v>126678</v>
      </c>
      <c r="R77" s="15">
        <f t="shared" si="4"/>
        <v>83.3892562305204</v>
      </c>
      <c r="S77" s="16">
        <f t="shared" si="22"/>
        <v>7275210.07</v>
      </c>
      <c r="T77" s="31">
        <f t="shared" si="22"/>
        <v>7275210.07</v>
      </c>
      <c r="U77" s="15">
        <f t="shared" si="5"/>
        <v>6847964.95</v>
      </c>
      <c r="V77" s="15">
        <f t="shared" si="6"/>
        <v>94.12738442066731</v>
      </c>
    </row>
    <row r="78" spans="1:22" s="21" customFormat="1" ht="28.5">
      <c r="A78" s="17" t="s">
        <v>110</v>
      </c>
      <c r="B78" s="19" t="s">
        <v>122</v>
      </c>
      <c r="C78" s="15">
        <f>C79+C80</f>
        <v>1424020</v>
      </c>
      <c r="D78" s="15">
        <f aca="true" t="shared" si="31" ref="D78:Q78">D79+D80</f>
        <v>1424020</v>
      </c>
      <c r="E78" s="15">
        <f>E79+E80</f>
        <v>1415598.97</v>
      </c>
      <c r="F78" s="15">
        <f t="shared" si="7"/>
        <v>1415598.97</v>
      </c>
      <c r="G78" s="15">
        <f t="shared" si="31"/>
        <v>545514.79</v>
      </c>
      <c r="H78" s="15">
        <f t="shared" si="31"/>
        <v>4675.31</v>
      </c>
      <c r="I78" s="16">
        <f t="shared" si="1"/>
        <v>99.40864383927192</v>
      </c>
      <c r="J78" s="15">
        <f t="shared" si="31"/>
        <v>10000</v>
      </c>
      <c r="K78" s="15">
        <f t="shared" si="31"/>
        <v>10000</v>
      </c>
      <c r="L78" s="15">
        <f t="shared" si="31"/>
        <v>10000</v>
      </c>
      <c r="M78" s="15">
        <f t="shared" si="8"/>
        <v>0</v>
      </c>
      <c r="N78" s="15">
        <f t="shared" si="31"/>
        <v>0</v>
      </c>
      <c r="O78" s="15">
        <f t="shared" si="31"/>
        <v>0</v>
      </c>
      <c r="P78" s="15">
        <f t="shared" si="31"/>
        <v>10000</v>
      </c>
      <c r="Q78" s="15">
        <f t="shared" si="31"/>
        <v>10000</v>
      </c>
      <c r="R78" s="15">
        <f t="shared" si="4"/>
        <v>100</v>
      </c>
      <c r="S78" s="16">
        <f t="shared" si="22"/>
        <v>1434020</v>
      </c>
      <c r="T78" s="31">
        <f t="shared" si="22"/>
        <v>1434020</v>
      </c>
      <c r="U78" s="15">
        <f t="shared" si="5"/>
        <v>1425598.97</v>
      </c>
      <c r="V78" s="15">
        <f t="shared" si="6"/>
        <v>99.41276760435697</v>
      </c>
    </row>
    <row r="79" spans="1:22" s="11" customFormat="1" ht="30">
      <c r="A79" s="35" t="s">
        <v>111</v>
      </c>
      <c r="B79" s="36" t="s">
        <v>123</v>
      </c>
      <c r="C79" s="20">
        <v>599200</v>
      </c>
      <c r="D79" s="20">
        <v>599200</v>
      </c>
      <c r="E79" s="20">
        <v>590831.94</v>
      </c>
      <c r="F79" s="20">
        <f t="shared" si="7"/>
        <v>590831.94</v>
      </c>
      <c r="G79" s="20">
        <f>447143.28+98371.51</f>
        <v>545514.79</v>
      </c>
      <c r="H79" s="20">
        <f>4044.63+100+530.68</f>
        <v>4675.31</v>
      </c>
      <c r="I79" s="33">
        <f t="shared" si="1"/>
        <v>98.60346128170893</v>
      </c>
      <c r="J79" s="20">
        <v>10000</v>
      </c>
      <c r="K79" s="52">
        <v>10000</v>
      </c>
      <c r="L79" s="20">
        <v>10000</v>
      </c>
      <c r="M79" s="20">
        <f t="shared" si="8"/>
        <v>0</v>
      </c>
      <c r="N79" s="20"/>
      <c r="O79" s="20"/>
      <c r="P79" s="20">
        <v>10000</v>
      </c>
      <c r="Q79" s="20">
        <v>10000</v>
      </c>
      <c r="R79" s="15">
        <f t="shared" si="4"/>
        <v>100</v>
      </c>
      <c r="S79" s="16">
        <f t="shared" si="22"/>
        <v>609200</v>
      </c>
      <c r="T79" s="31">
        <f t="shared" si="22"/>
        <v>609200</v>
      </c>
      <c r="U79" s="15">
        <f t="shared" si="5"/>
        <v>600831.94</v>
      </c>
      <c r="V79" s="15">
        <f t="shared" si="6"/>
        <v>98.62638542350622</v>
      </c>
    </row>
    <row r="80" spans="1:22" s="11" customFormat="1" ht="15">
      <c r="A80" s="35" t="s">
        <v>112</v>
      </c>
      <c r="B80" s="36" t="s">
        <v>124</v>
      </c>
      <c r="C80" s="20">
        <v>824820</v>
      </c>
      <c r="D80" s="20">
        <v>824820</v>
      </c>
      <c r="E80" s="20">
        <v>824767.03</v>
      </c>
      <c r="F80" s="20">
        <f t="shared" si="7"/>
        <v>824767.03</v>
      </c>
      <c r="G80" s="20"/>
      <c r="H80" s="20"/>
      <c r="I80" s="33">
        <f t="shared" si="1"/>
        <v>99.99357799277419</v>
      </c>
      <c r="J80" s="20">
        <v>0</v>
      </c>
      <c r="K80" s="38"/>
      <c r="L80" s="20">
        <v>0</v>
      </c>
      <c r="M80" s="20">
        <f t="shared" si="8"/>
        <v>0</v>
      </c>
      <c r="N80" s="20"/>
      <c r="O80" s="20"/>
      <c r="P80" s="20"/>
      <c r="Q80" s="20"/>
      <c r="R80" s="15" t="e">
        <f t="shared" si="4"/>
        <v>#DIV/0!</v>
      </c>
      <c r="S80" s="16">
        <f t="shared" si="22"/>
        <v>824820</v>
      </c>
      <c r="T80" s="31">
        <f t="shared" si="22"/>
        <v>824820</v>
      </c>
      <c r="U80" s="15">
        <f t="shared" si="5"/>
        <v>824767.03</v>
      </c>
      <c r="V80" s="15">
        <f t="shared" si="6"/>
        <v>99.99357799277419</v>
      </c>
    </row>
    <row r="81" spans="1:22" s="21" customFormat="1" ht="42.75">
      <c r="A81" s="17" t="s">
        <v>43</v>
      </c>
      <c r="B81" s="19">
        <v>1017363</v>
      </c>
      <c r="C81" s="15"/>
      <c r="D81" s="15"/>
      <c r="E81" s="15"/>
      <c r="F81" s="15"/>
      <c r="G81" s="15"/>
      <c r="H81" s="15"/>
      <c r="I81" s="16"/>
      <c r="J81" s="15">
        <v>598950.1</v>
      </c>
      <c r="K81" s="51">
        <v>598950.1</v>
      </c>
      <c r="L81" s="15">
        <v>583099.3</v>
      </c>
      <c r="M81" s="15">
        <f t="shared" si="8"/>
        <v>0</v>
      </c>
      <c r="N81" s="15"/>
      <c r="O81" s="15"/>
      <c r="P81" s="15">
        <v>583099.3</v>
      </c>
      <c r="Q81" s="15">
        <v>583099.3</v>
      </c>
      <c r="R81" s="15">
        <f aca="true" t="shared" si="32" ref="R81:R88">L81/K81*100</f>
        <v>97.35356918714932</v>
      </c>
      <c r="S81" s="16">
        <f t="shared" si="22"/>
        <v>598950.1</v>
      </c>
      <c r="T81" s="31">
        <f t="shared" si="22"/>
        <v>598950.1</v>
      </c>
      <c r="U81" s="15">
        <f t="shared" si="5"/>
        <v>583099.3</v>
      </c>
      <c r="V81" s="15">
        <f t="shared" si="6"/>
        <v>97.35356918714932</v>
      </c>
    </row>
    <row r="82" spans="1:22" s="21" customFormat="1" ht="14.25">
      <c r="A82" s="17" t="s">
        <v>113</v>
      </c>
      <c r="B82" s="19" t="s">
        <v>125</v>
      </c>
      <c r="C82" s="15">
        <f>C83</f>
        <v>25818280</v>
      </c>
      <c r="D82" s="15">
        <f aca="true" t="shared" si="33" ref="D82:Q82">D83</f>
        <v>25818280</v>
      </c>
      <c r="E82" s="15">
        <f>E83</f>
        <v>25458498.45</v>
      </c>
      <c r="F82" s="15">
        <f t="shared" si="7"/>
        <v>25458498.45</v>
      </c>
      <c r="G82" s="15">
        <f t="shared" si="33"/>
        <v>994189.17</v>
      </c>
      <c r="H82" s="15">
        <f t="shared" si="33"/>
        <v>0</v>
      </c>
      <c r="I82" s="16">
        <f t="shared" si="1"/>
        <v>98.60648521125341</v>
      </c>
      <c r="J82" s="15">
        <f t="shared" si="33"/>
        <v>65000</v>
      </c>
      <c r="K82" s="15">
        <f t="shared" si="33"/>
        <v>65000</v>
      </c>
      <c r="L82" s="15">
        <f t="shared" si="33"/>
        <v>65000</v>
      </c>
      <c r="M82" s="15">
        <f t="shared" si="8"/>
        <v>0</v>
      </c>
      <c r="N82" s="15">
        <f t="shared" si="33"/>
        <v>0</v>
      </c>
      <c r="O82" s="15">
        <f t="shared" si="33"/>
        <v>0</v>
      </c>
      <c r="P82" s="15">
        <f t="shared" si="33"/>
        <v>65000</v>
      </c>
      <c r="Q82" s="15">
        <f t="shared" si="33"/>
        <v>65000</v>
      </c>
      <c r="R82" s="15">
        <f t="shared" si="32"/>
        <v>100</v>
      </c>
      <c r="S82" s="16">
        <f t="shared" si="22"/>
        <v>25883280</v>
      </c>
      <c r="T82" s="31">
        <f t="shared" si="22"/>
        <v>25883280</v>
      </c>
      <c r="U82" s="15">
        <f t="shared" si="5"/>
        <v>25523498.45</v>
      </c>
      <c r="V82" s="15">
        <f t="shared" si="6"/>
        <v>98.609984708275</v>
      </c>
    </row>
    <row r="83" spans="1:22" s="21" customFormat="1" ht="14.25">
      <c r="A83" s="17" t="s">
        <v>114</v>
      </c>
      <c r="B83" s="19" t="s">
        <v>126</v>
      </c>
      <c r="C83" s="15">
        <f>C84+C85+C86+C88+C87</f>
        <v>25818280</v>
      </c>
      <c r="D83" s="15">
        <f>D84+D85+D86+D88+D87</f>
        <v>25818280</v>
      </c>
      <c r="E83" s="15">
        <f>E84+E85+E86+E88</f>
        <v>25458498.45</v>
      </c>
      <c r="F83" s="15">
        <f t="shared" si="7"/>
        <v>25458498.45</v>
      </c>
      <c r="G83" s="15">
        <f aca="true" t="shared" si="34" ref="G83:Q83">G84+G85+G86+G88</f>
        <v>994189.17</v>
      </c>
      <c r="H83" s="15">
        <f t="shared" si="34"/>
        <v>0</v>
      </c>
      <c r="I83" s="16">
        <f t="shared" si="1"/>
        <v>98.60648521125341</v>
      </c>
      <c r="J83" s="15">
        <f t="shared" si="34"/>
        <v>65000</v>
      </c>
      <c r="K83" s="15">
        <f t="shared" si="34"/>
        <v>65000</v>
      </c>
      <c r="L83" s="15">
        <f t="shared" si="34"/>
        <v>65000</v>
      </c>
      <c r="M83" s="15">
        <f t="shared" si="34"/>
        <v>0</v>
      </c>
      <c r="N83" s="15">
        <f t="shared" si="34"/>
        <v>0</v>
      </c>
      <c r="O83" s="15">
        <f t="shared" si="34"/>
        <v>0</v>
      </c>
      <c r="P83" s="15">
        <f t="shared" si="34"/>
        <v>65000</v>
      </c>
      <c r="Q83" s="15">
        <f t="shared" si="34"/>
        <v>65000</v>
      </c>
      <c r="R83" s="15">
        <f t="shared" si="32"/>
        <v>100</v>
      </c>
      <c r="S83" s="16">
        <f t="shared" si="22"/>
        <v>25883280</v>
      </c>
      <c r="T83" s="31">
        <f t="shared" si="22"/>
        <v>25883280</v>
      </c>
      <c r="U83" s="15">
        <f t="shared" si="5"/>
        <v>25523498.45</v>
      </c>
      <c r="V83" s="15">
        <f t="shared" si="6"/>
        <v>98.609984708275</v>
      </c>
    </row>
    <row r="84" spans="1:22" s="21" customFormat="1" ht="42.75">
      <c r="A84" s="17" t="s">
        <v>22</v>
      </c>
      <c r="B84" s="19" t="s">
        <v>127</v>
      </c>
      <c r="C84" s="15">
        <v>1066000</v>
      </c>
      <c r="D84" s="15">
        <v>1066000</v>
      </c>
      <c r="E84" s="15">
        <v>1064471.73</v>
      </c>
      <c r="F84" s="15">
        <f t="shared" si="7"/>
        <v>1064471.73</v>
      </c>
      <c r="G84" s="15">
        <f>814909.17+179280</f>
        <v>994189.17</v>
      </c>
      <c r="H84" s="15"/>
      <c r="I84" s="16">
        <f t="shared" si="1"/>
        <v>99.85663508442777</v>
      </c>
      <c r="J84" s="15">
        <v>0</v>
      </c>
      <c r="K84" s="34">
        <v>0</v>
      </c>
      <c r="L84" s="15">
        <v>0</v>
      </c>
      <c r="M84" s="15">
        <f t="shared" si="8"/>
        <v>0</v>
      </c>
      <c r="N84" s="15"/>
      <c r="O84" s="15"/>
      <c r="P84" s="15">
        <v>0</v>
      </c>
      <c r="Q84" s="15">
        <v>0</v>
      </c>
      <c r="R84" s="15" t="e">
        <f t="shared" si="32"/>
        <v>#DIV/0!</v>
      </c>
      <c r="S84" s="16">
        <f t="shared" si="22"/>
        <v>1066000</v>
      </c>
      <c r="T84" s="31">
        <f t="shared" si="22"/>
        <v>1066000</v>
      </c>
      <c r="U84" s="15">
        <f>E84+L84</f>
        <v>1064471.73</v>
      </c>
      <c r="V84" s="15">
        <f t="shared" si="6"/>
        <v>99.85663508442777</v>
      </c>
    </row>
    <row r="85" spans="1:22" s="21" customFormat="1" ht="14.25">
      <c r="A85" s="17" t="s">
        <v>16</v>
      </c>
      <c r="B85" s="19" t="s">
        <v>128</v>
      </c>
      <c r="C85" s="15">
        <v>80000</v>
      </c>
      <c r="D85" s="15">
        <v>80000</v>
      </c>
      <c r="E85" s="15">
        <v>0</v>
      </c>
      <c r="F85" s="15">
        <f t="shared" si="7"/>
        <v>0</v>
      </c>
      <c r="G85" s="15"/>
      <c r="H85" s="15"/>
      <c r="I85" s="16">
        <f t="shared" si="1"/>
        <v>0</v>
      </c>
      <c r="J85" s="15">
        <v>0</v>
      </c>
      <c r="K85" s="39"/>
      <c r="L85" s="15">
        <v>0</v>
      </c>
      <c r="M85" s="15">
        <f t="shared" si="8"/>
        <v>0</v>
      </c>
      <c r="N85" s="15"/>
      <c r="O85" s="15"/>
      <c r="P85" s="15"/>
      <c r="Q85" s="15"/>
      <c r="R85" s="15" t="e">
        <f t="shared" si="32"/>
        <v>#DIV/0!</v>
      </c>
      <c r="S85" s="16">
        <f t="shared" si="22"/>
        <v>80000</v>
      </c>
      <c r="T85" s="31">
        <f t="shared" si="22"/>
        <v>80000</v>
      </c>
      <c r="U85" s="15">
        <f>E85+L85</f>
        <v>0</v>
      </c>
      <c r="V85" s="15">
        <f t="shared" si="6"/>
        <v>0</v>
      </c>
    </row>
    <row r="86" spans="1:22" s="21" customFormat="1" ht="42.75">
      <c r="A86" s="17" t="s">
        <v>115</v>
      </c>
      <c r="B86" s="19" t="s">
        <v>129</v>
      </c>
      <c r="C86" s="15">
        <v>16971100</v>
      </c>
      <c r="D86" s="15">
        <v>16971100</v>
      </c>
      <c r="E86" s="15">
        <v>16971100</v>
      </c>
      <c r="F86" s="15">
        <f t="shared" si="7"/>
        <v>16971100</v>
      </c>
      <c r="G86" s="15"/>
      <c r="H86" s="15"/>
      <c r="I86" s="16">
        <f t="shared" si="1"/>
        <v>100</v>
      </c>
      <c r="J86" s="15">
        <v>0</v>
      </c>
      <c r="K86" s="39"/>
      <c r="L86" s="15">
        <v>0</v>
      </c>
      <c r="M86" s="15">
        <f t="shared" si="8"/>
        <v>0</v>
      </c>
      <c r="N86" s="15"/>
      <c r="O86" s="15"/>
      <c r="P86" s="15"/>
      <c r="Q86" s="15"/>
      <c r="R86" s="15" t="e">
        <f t="shared" si="32"/>
        <v>#DIV/0!</v>
      </c>
      <c r="S86" s="16">
        <f t="shared" si="22"/>
        <v>16971100</v>
      </c>
      <c r="T86" s="31">
        <f t="shared" si="22"/>
        <v>16971100</v>
      </c>
      <c r="U86" s="15">
        <f>E86+L86</f>
        <v>16971100</v>
      </c>
      <c r="V86" s="15">
        <f t="shared" si="6"/>
        <v>100</v>
      </c>
    </row>
    <row r="87" spans="1:22" s="21" customFormat="1" ht="28.5" hidden="1">
      <c r="A87" s="40" t="s">
        <v>144</v>
      </c>
      <c r="B87" s="41">
        <v>3719750</v>
      </c>
      <c r="C87" s="30">
        <v>0</v>
      </c>
      <c r="D87" s="30">
        <v>0</v>
      </c>
      <c r="E87" s="30">
        <v>0</v>
      </c>
      <c r="F87" s="15">
        <f t="shared" si="7"/>
        <v>0</v>
      </c>
      <c r="G87" s="30"/>
      <c r="H87" s="30"/>
      <c r="I87" s="42" t="e">
        <f t="shared" si="1"/>
        <v>#DIV/0!</v>
      </c>
      <c r="J87" s="30"/>
      <c r="K87" s="43"/>
      <c r="L87" s="30"/>
      <c r="M87" s="15"/>
      <c r="N87" s="30"/>
      <c r="O87" s="30"/>
      <c r="P87" s="30"/>
      <c r="Q87" s="30"/>
      <c r="R87" s="15" t="e">
        <f t="shared" si="32"/>
        <v>#DIV/0!</v>
      </c>
      <c r="S87" s="16">
        <f t="shared" si="22"/>
        <v>0</v>
      </c>
      <c r="T87" s="31">
        <f t="shared" si="22"/>
        <v>0</v>
      </c>
      <c r="U87" s="15">
        <f>E87+L87</f>
        <v>0</v>
      </c>
      <c r="V87" s="15" t="e">
        <f t="shared" si="6"/>
        <v>#DIV/0!</v>
      </c>
    </row>
    <row r="88" spans="1:22" s="21" customFormat="1" ht="15" thickBot="1">
      <c r="A88" s="40" t="s">
        <v>116</v>
      </c>
      <c r="B88" s="41" t="s">
        <v>130</v>
      </c>
      <c r="C88" s="30">
        <v>7701180</v>
      </c>
      <c r="D88" s="30">
        <v>7701180</v>
      </c>
      <c r="E88" s="30">
        <v>7422926.72</v>
      </c>
      <c r="F88" s="15">
        <f t="shared" si="7"/>
        <v>7422926.72</v>
      </c>
      <c r="G88" s="30"/>
      <c r="H88" s="30"/>
      <c r="I88" s="42">
        <f t="shared" si="1"/>
        <v>96.38687473867641</v>
      </c>
      <c r="J88" s="30">
        <v>65000</v>
      </c>
      <c r="K88" s="43">
        <v>65000</v>
      </c>
      <c r="L88" s="30">
        <v>65000</v>
      </c>
      <c r="M88" s="15">
        <f t="shared" si="8"/>
        <v>0</v>
      </c>
      <c r="N88" s="30"/>
      <c r="O88" s="30"/>
      <c r="P88" s="30">
        <v>65000</v>
      </c>
      <c r="Q88" s="30">
        <v>65000</v>
      </c>
      <c r="R88" s="15">
        <f t="shared" si="32"/>
        <v>100</v>
      </c>
      <c r="S88" s="16">
        <f t="shared" si="22"/>
        <v>7766180</v>
      </c>
      <c r="T88" s="31">
        <f t="shared" si="22"/>
        <v>7766180</v>
      </c>
      <c r="U88" s="15">
        <f>E88+L88</f>
        <v>7487926.72</v>
      </c>
      <c r="V88" s="15">
        <f t="shared" si="6"/>
        <v>96.41711523554694</v>
      </c>
    </row>
    <row r="89" spans="1:22" s="21" customFormat="1" ht="15" thickBot="1">
      <c r="A89" s="22" t="s">
        <v>134</v>
      </c>
      <c r="B89" s="23"/>
      <c r="C89" s="24">
        <f aca="true" t="shared" si="35" ref="C89:H89">SUM(C13+C53+C72+C82)</f>
        <v>172545225.92000002</v>
      </c>
      <c r="D89" s="24">
        <f t="shared" si="35"/>
        <v>172545225.92000002</v>
      </c>
      <c r="E89" s="24">
        <f t="shared" si="35"/>
        <v>168577863.77</v>
      </c>
      <c r="F89" s="24">
        <f t="shared" si="35"/>
        <v>168577863.77</v>
      </c>
      <c r="G89" s="24">
        <f t="shared" si="35"/>
        <v>109483511.34000002</v>
      </c>
      <c r="H89" s="25">
        <f t="shared" si="35"/>
        <v>9065627.98</v>
      </c>
      <c r="I89" s="26">
        <f>E89/D89*100</f>
        <v>97.70068274630823</v>
      </c>
      <c r="J89" s="27">
        <f>J13++J53+J72+J82</f>
        <v>26826585.81</v>
      </c>
      <c r="K89" s="24">
        <f>K13+K53+K72+K82</f>
        <v>26826585.81</v>
      </c>
      <c r="L89" s="24">
        <f aca="true" t="shared" si="36" ref="L89:Q89">SUM(L13+L53+L72+L82)</f>
        <v>25279363.939999998</v>
      </c>
      <c r="M89" s="24">
        <f t="shared" si="36"/>
        <v>3696010.500000002</v>
      </c>
      <c r="N89" s="24">
        <f t="shared" si="36"/>
        <v>296713.8</v>
      </c>
      <c r="O89" s="24">
        <f t="shared" si="36"/>
        <v>110658.95999999999</v>
      </c>
      <c r="P89" s="24">
        <f t="shared" si="36"/>
        <v>21583353.439999998</v>
      </c>
      <c r="Q89" s="25">
        <f t="shared" si="36"/>
        <v>20522577.759999998</v>
      </c>
      <c r="R89" s="45">
        <f>L89/K89*100</f>
        <v>94.23250546693403</v>
      </c>
      <c r="S89" s="27">
        <f>SUM(S13+S53+S72+S82)</f>
        <v>199054863.73</v>
      </c>
      <c r="T89" s="24">
        <f>SUM(T13+T53+T72+T82)</f>
        <v>199054863.73</v>
      </c>
      <c r="U89" s="25">
        <f>SUM(U13+U53+U72+U82)</f>
        <v>193857227.71</v>
      </c>
      <c r="V89" s="45">
        <f t="shared" si="6"/>
        <v>97.38884249166094</v>
      </c>
    </row>
    <row r="90" s="11" customFormat="1" ht="12.75">
      <c r="B90" s="46"/>
    </row>
    <row r="92" spans="19:21" ht="12.75">
      <c r="S92" s="47"/>
      <c r="T92" s="47"/>
      <c r="U92" s="47"/>
    </row>
    <row r="94" ht="12.75">
      <c r="G94" s="47"/>
    </row>
    <row r="95" ht="12.75">
      <c r="T95" s="47"/>
    </row>
    <row r="101" ht="12.75">
      <c r="N101" s="49"/>
    </row>
  </sheetData>
  <sheetProtection/>
  <mergeCells count="22">
    <mergeCell ref="S1:V3"/>
    <mergeCell ref="A4:U4"/>
    <mergeCell ref="B7:B9"/>
    <mergeCell ref="A5:H5"/>
    <mergeCell ref="C8:D8"/>
    <mergeCell ref="I8:I9"/>
    <mergeCell ref="P8:P9"/>
    <mergeCell ref="J7:R7"/>
    <mergeCell ref="J8:K8"/>
    <mergeCell ref="G8:H8"/>
    <mergeCell ref="E8:E9"/>
    <mergeCell ref="F8:F9"/>
    <mergeCell ref="C7:I7"/>
    <mergeCell ref="N8:O8"/>
    <mergeCell ref="A7:A9"/>
    <mergeCell ref="M8:M9"/>
    <mergeCell ref="S7:V7"/>
    <mergeCell ref="S8:T8"/>
    <mergeCell ref="U8:U9"/>
    <mergeCell ref="V8:V9"/>
    <mergeCell ref="L8:L9"/>
    <mergeCell ref="R8:R9"/>
  </mergeCells>
  <printOptions/>
  <pageMargins left="0.32" right="0.33" top="0.393700787401575" bottom="0.393700787401575" header="0" footer="0"/>
  <pageSetup fitToHeight="4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</cp:lastModifiedBy>
  <cp:lastPrinted>2020-01-08T07:36:16Z</cp:lastPrinted>
  <dcterms:created xsi:type="dcterms:W3CDTF">2013-01-31T12:13:41Z</dcterms:created>
  <dcterms:modified xsi:type="dcterms:W3CDTF">2020-02-11T06:16:05Z</dcterms:modified>
  <cp:category/>
  <cp:version/>
  <cp:contentType/>
  <cp:contentStatus/>
</cp:coreProperties>
</file>